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bfproperties.sharepoint.com/Shared Documents/Seaview Blinds/Design &amp; Engineering/Development/Project SOP/EF New Enquiry Forms/CT  Dev/"/>
    </mc:Choice>
  </mc:AlternateContent>
  <xr:revisionPtr revIDLastSave="814" documentId="8_{0C02A079-F96D-4388-A0E7-56EC97D62DA8}" xr6:coauthVersionLast="47" xr6:coauthVersionMax="47" xr10:uidLastSave="{E3322E96-B27A-4968-ADC1-7DC8E8BB30C0}"/>
  <workbookProtection workbookAlgorithmName="SHA-512" workbookHashValue="TD6GrjkTUx6G5pXLa69IKYYe1KUOMuOZwahlGL3I+xDA4AkidFctv4iGCGpbGhbsrZgyjnudjcplMLmfmU1NDA==" workbookSaltValue="PhMGKeMOFxLzEazN/JU0sA==" workbookSpinCount="100000" lockStructure="1"/>
  <bookViews>
    <workbookView xWindow="-108" yWindow="-108" windowWidth="23256" windowHeight="12456" xr2:uid="{690BAD02-9C9C-4C99-AB21-B21A22852FC5}"/>
  </bookViews>
  <sheets>
    <sheet name="Enquiry Form" sheetId="1" r:id="rId1"/>
    <sheet name="Product Code" sheetId="2" state="hidden" r:id="rId2"/>
    <sheet name="Blind Sizes" sheetId="3" state="hidden" r:id="rId3"/>
  </sheets>
  <definedNames>
    <definedName name="_xlnm.Print_Area" localSheetId="0">'Enquiry Form'!$A$1:$P$26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7" i="1" l="1"/>
  <c r="S8" i="1"/>
  <c r="S9" i="1"/>
  <c r="S10" i="1"/>
  <c r="S11" i="1"/>
  <c r="S12" i="1"/>
  <c r="S13" i="1"/>
  <c r="S14" i="1"/>
  <c r="S15" i="1"/>
  <c r="H7" i="1" l="1"/>
  <c r="H8" i="1"/>
  <c r="H9" i="1"/>
  <c r="H10" i="1"/>
  <c r="H11" i="1"/>
  <c r="H12" i="1"/>
  <c r="H13" i="1"/>
  <c r="H14" i="1"/>
  <c r="H15" i="1"/>
  <c r="H6" i="1"/>
  <c r="C9" i="1"/>
  <c r="C15" i="1"/>
  <c r="C14" i="1"/>
  <c r="C13" i="1"/>
  <c r="C7" i="1"/>
  <c r="C8" i="1"/>
  <c r="C10" i="1"/>
  <c r="C11" i="1"/>
  <c r="C12" i="1"/>
  <c r="M16" i="1" a="1"/>
  <c r="M16" i="1" s="1"/>
  <c r="D16" i="1" l="1"/>
  <c r="S6" i="2"/>
  <c r="R6" i="2"/>
  <c r="S5" i="2"/>
  <c r="T6" i="2"/>
  <c r="R5" i="2"/>
  <c r="U6" i="2"/>
  <c r="U5" i="2"/>
  <c r="T5" i="2"/>
  <c r="C6" i="1"/>
  <c r="K7" i="1"/>
  <c r="K8" i="1"/>
  <c r="K9" i="1"/>
  <c r="K10" i="1"/>
  <c r="K11" i="1"/>
  <c r="K12" i="1"/>
  <c r="K13" i="1"/>
  <c r="K14" i="1"/>
  <c r="K15" i="1"/>
  <c r="K6" i="1"/>
  <c r="G7" i="1"/>
  <c r="G8" i="1"/>
  <c r="G9" i="1"/>
  <c r="G10" i="1"/>
  <c r="G11" i="1"/>
  <c r="G12" i="1"/>
  <c r="G13" i="1"/>
  <c r="G14" i="1"/>
  <c r="G15" i="1"/>
  <c r="E7" i="1"/>
  <c r="E8" i="1"/>
  <c r="E9" i="1"/>
  <c r="E10" i="1"/>
  <c r="E11" i="1"/>
  <c r="E12" i="1"/>
  <c r="E13" i="1"/>
  <c r="E14" i="1"/>
  <c r="E15" i="1"/>
  <c r="G6" i="1"/>
  <c r="E6" i="1"/>
  <c r="S6" i="1" l="1"/>
  <c r="O16" i="1" a="1"/>
  <c r="O16" i="1" s="1"/>
  <c r="V8" i="1" l="1"/>
  <c r="V6" i="1"/>
  <c r="V7" i="1"/>
  <c r="W7" i="1" l="1"/>
  <c r="W6" i="1"/>
  <c r="A7" i="1"/>
  <c r="A8" i="1" s="1"/>
  <c r="A9" i="1" s="1"/>
  <c r="A10" i="1" s="1"/>
  <c r="A11" i="1" s="1"/>
  <c r="A12" i="1" s="1"/>
  <c r="A13" i="1" s="1"/>
  <c r="A14" i="1" s="1"/>
  <c r="A15" i="1" s="1"/>
  <c r="W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<sst xmlns="http://schemas.openxmlformats.org/spreadsheetml/2006/main" count="130" uniqueCount="98">
  <si>
    <t>Project Reference</t>
  </si>
  <si>
    <t>SEASCREEN Integrated</t>
  </si>
  <si>
    <t>Enquiry Form</t>
  </si>
  <si>
    <t xml:space="preserve">Item </t>
  </si>
  <si>
    <r>
      <t xml:space="preserve">Hardware 
Colour
</t>
    </r>
    <r>
      <rPr>
        <b/>
        <sz val="6"/>
        <color theme="0" tint="-0.499984740745262"/>
        <rFont val="Century Gothic"/>
        <family val="2"/>
      </rPr>
      <t>(Select)</t>
    </r>
  </si>
  <si>
    <r>
      <t xml:space="preserve">Fabric Colour
</t>
    </r>
    <r>
      <rPr>
        <b/>
        <sz val="6"/>
        <color theme="0" tint="-0.499984740745262"/>
        <rFont val="Century Gothic"/>
        <family val="2"/>
      </rPr>
      <t>(Select)</t>
    </r>
  </si>
  <si>
    <r>
      <t xml:space="preserve">R42 Radius
</t>
    </r>
    <r>
      <rPr>
        <b/>
        <sz val="6"/>
        <color theme="0" tint="-0.499984740745262"/>
        <rFont val="Century Gothic"/>
        <family val="2"/>
      </rPr>
      <t>(Select)</t>
    </r>
  </si>
  <si>
    <r>
      <t xml:space="preserve">Quantity
</t>
    </r>
    <r>
      <rPr>
        <b/>
        <sz val="6"/>
        <color theme="0" tint="-0.499984740745262"/>
        <rFont val="Century Gothic"/>
        <family val="2"/>
      </rPr>
      <t>(Enter)</t>
    </r>
  </si>
  <si>
    <r>
      <t xml:space="preserve">Blind Location (Optional)
</t>
    </r>
    <r>
      <rPr>
        <b/>
        <sz val="6"/>
        <color theme="0" tint="-0.499984740745262"/>
        <rFont val="Century Gothic"/>
        <family val="2"/>
      </rPr>
      <t>(Enter)</t>
    </r>
  </si>
  <si>
    <t>Seaview Product Code</t>
  </si>
  <si>
    <t xml:space="preserve"> </t>
  </si>
  <si>
    <t>Measurements should be aperture size - please see our website</t>
  </si>
  <si>
    <t>Notes</t>
  </si>
  <si>
    <t>Date</t>
  </si>
  <si>
    <t>Customer Name</t>
  </si>
  <si>
    <t>Customer Email</t>
  </si>
  <si>
    <t>Customer Tel. Number</t>
  </si>
  <si>
    <t>Customer Address</t>
  </si>
  <si>
    <t>Hardware colour</t>
  </si>
  <si>
    <t>Code</t>
  </si>
  <si>
    <t>Fabric Colour</t>
  </si>
  <si>
    <t>Corner</t>
  </si>
  <si>
    <t>Liner</t>
  </si>
  <si>
    <t>Ivory</t>
  </si>
  <si>
    <t>IVY</t>
  </si>
  <si>
    <t>Custom</t>
  </si>
  <si>
    <t>CUS</t>
  </si>
  <si>
    <t>None</t>
  </si>
  <si>
    <t>L</t>
  </si>
  <si>
    <t>White</t>
  </si>
  <si>
    <t>WHT</t>
  </si>
  <si>
    <t>R42</t>
  </si>
  <si>
    <t>Matrix</t>
  </si>
  <si>
    <t>Total</t>
  </si>
  <si>
    <t>Dampner</t>
  </si>
  <si>
    <r>
      <t xml:space="preserve">Format 
</t>
    </r>
    <r>
      <rPr>
        <b/>
        <sz val="6"/>
        <color theme="0" tint="-0.499984740745262"/>
        <rFont val="Century Gothic"/>
        <family val="2"/>
      </rPr>
      <t>(Select)</t>
    </r>
  </si>
  <si>
    <t>Format</t>
  </si>
  <si>
    <t>BB</t>
  </si>
  <si>
    <t>Fly/Fly - Meet in Middle</t>
  </si>
  <si>
    <t>FF</t>
  </si>
  <si>
    <t>Product</t>
  </si>
  <si>
    <t>Make</t>
  </si>
  <si>
    <t>W (mm)</t>
  </si>
  <si>
    <t>H (mm)</t>
  </si>
  <si>
    <t>External</t>
  </si>
  <si>
    <t>Lewmar 10</t>
  </si>
  <si>
    <t>L10</t>
  </si>
  <si>
    <t>Lewmar 20</t>
  </si>
  <si>
    <t>L20</t>
  </si>
  <si>
    <t>Lewmar 30</t>
  </si>
  <si>
    <t>L30</t>
  </si>
  <si>
    <t>Lewmar 40</t>
  </si>
  <si>
    <t>L40</t>
  </si>
  <si>
    <t>Lewmar 44</t>
  </si>
  <si>
    <t>L44</t>
  </si>
  <si>
    <t>Lewmar 50</t>
  </si>
  <si>
    <t>L50</t>
  </si>
  <si>
    <t>Lewmar 54</t>
  </si>
  <si>
    <t>L54</t>
  </si>
  <si>
    <t>Lewmar 60</t>
  </si>
  <si>
    <t>L60</t>
  </si>
  <si>
    <t>Lewmar 70</t>
  </si>
  <si>
    <t>L70</t>
  </si>
  <si>
    <t>Lewmar 77</t>
  </si>
  <si>
    <t>L77</t>
  </si>
  <si>
    <r>
      <t xml:space="preserve">Custom
Width (W) mm
</t>
    </r>
    <r>
      <rPr>
        <b/>
        <sz val="6"/>
        <color theme="0" tint="-0.499984740745262"/>
        <rFont val="Century Gothic"/>
        <family val="2"/>
      </rPr>
      <t>(Enter)</t>
    </r>
  </si>
  <si>
    <r>
      <t xml:space="preserve">Custom
Drop (H) mm
</t>
    </r>
    <r>
      <rPr>
        <b/>
        <sz val="6"/>
        <color theme="0" tint="-0.499984740745262"/>
        <rFont val="Century Gothic"/>
        <family val="2"/>
      </rPr>
      <t>(Enter)</t>
    </r>
  </si>
  <si>
    <r>
      <t xml:space="preserve">Size Type
</t>
    </r>
    <r>
      <rPr>
        <b/>
        <sz val="6"/>
        <color theme="0" tint="-0.499984740745262"/>
        <rFont val="Century Gothic"/>
        <family val="2"/>
      </rPr>
      <t>(Select)</t>
    </r>
  </si>
  <si>
    <t>Seascreen Integrated</t>
  </si>
  <si>
    <t>Size Format</t>
  </si>
  <si>
    <r>
      <t xml:space="preserve">Damper
</t>
    </r>
    <r>
      <rPr>
        <b/>
        <sz val="6"/>
        <color theme="0" tint="-0.499984740745262"/>
        <rFont val="Century Gothic"/>
        <family val="2"/>
      </rPr>
      <t>(Select)</t>
    </r>
  </si>
  <si>
    <t>Lewmar Size</t>
  </si>
  <si>
    <t>Aperture</t>
  </si>
  <si>
    <t>Size Limits</t>
  </si>
  <si>
    <t>Min</t>
  </si>
  <si>
    <t>Max</t>
  </si>
  <si>
    <t>W</t>
  </si>
  <si>
    <t>H</t>
  </si>
  <si>
    <t xml:space="preserve">Min </t>
  </si>
  <si>
    <t xml:space="preserve">Blackout/Fly - Full Travel </t>
  </si>
  <si>
    <t>Blackout/Blackout - Meet in Middle</t>
  </si>
  <si>
    <r>
      <t xml:space="preserve">Liner or Seal
</t>
    </r>
    <r>
      <rPr>
        <b/>
        <sz val="6"/>
        <color theme="0" tint="-0.499984740745262"/>
        <rFont val="Century Gothic"/>
        <family val="2"/>
      </rPr>
      <t>(Select)</t>
    </r>
  </si>
  <si>
    <t>Seal</t>
  </si>
  <si>
    <t>S</t>
  </si>
  <si>
    <t>Bowmar 1000</t>
  </si>
  <si>
    <t>B1000</t>
  </si>
  <si>
    <t>Bowmar 1011</t>
  </si>
  <si>
    <t>B1011</t>
  </si>
  <si>
    <t>Bowmar 1029</t>
  </si>
  <si>
    <t>B1029</t>
  </si>
  <si>
    <t>Bowmar 1039</t>
  </si>
  <si>
    <t>B1039</t>
  </si>
  <si>
    <t>Bowmar 1049</t>
  </si>
  <si>
    <t>B1049</t>
  </si>
  <si>
    <t>Bowmar 1070</t>
  </si>
  <si>
    <t>B1070</t>
  </si>
  <si>
    <t>Bowmar 1080</t>
  </si>
  <si>
    <t>B1080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</si>
</sst>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8"/>
      <color theme="1"/>
      <name val="Century Gothic"/>
      <family val="2"/>
    </font>
    <font>
      <sz val="11"/>
      <color theme="1"/>
      <name val="Century Gothic"/>
      <family val="2"/>
    </font>
    <font>
      <b/>
      <sz val="14"/>
      <color theme="1"/>
      <name val="Century Gothic"/>
      <family val="2"/>
    </font>
    <font>
      <sz val="12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7"/>
      <color theme="1"/>
      <name val="Century Gothic"/>
      <family val="2"/>
    </font>
    <font>
      <b/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b/>
      <sz val="6"/>
      <color theme="0" tint="-0.499984740745262"/>
      <name val="Century Gothic"/>
      <family val="2"/>
    </font>
    <font>
      <sz val="8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  <font>
      <sz val="10"/>
      <color theme="1"/>
      <name val="Century Gothic"/>
      <family val="2"/>
    </font>
    <font>
      <b/>
      <sz val="8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/>
    <xf numFmtId="0" fontId="11" fillId="0" borderId="0" xfId="0" applyFont="1"/>
    <xf numFmtId="0" fontId="5" fillId="0" borderId="0" xfId="0" applyFont="1" applyAlignment="1">
      <alignment vertical="center"/>
    </xf>
    <xf numFmtId="0" fontId="10" fillId="0" borderId="0" xfId="0" applyFont="1"/>
    <xf numFmtId="0" fontId="4" fillId="0" borderId="3" xfId="0" applyFont="1" applyBorder="1"/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11" fillId="0" borderId="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right"/>
    </xf>
    <xf numFmtId="0" fontId="11" fillId="0" borderId="3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vertical="top"/>
    </xf>
    <xf numFmtId="0" fontId="10" fillId="0" borderId="5" xfId="0" applyFont="1" applyBorder="1" applyAlignment="1">
      <alignment horizontal="center" vertical="center" wrapText="1"/>
    </xf>
    <xf numFmtId="9" fontId="3" fillId="0" borderId="0" xfId="0" applyNumberFormat="1" applyFont="1"/>
    <xf numFmtId="0" fontId="15" fillId="0" borderId="0" xfId="0" applyFont="1"/>
    <xf numFmtId="44" fontId="16" fillId="0" borderId="0" xfId="1" applyFont="1" applyAlignment="1">
      <alignment vertical="center"/>
    </xf>
    <xf numFmtId="0" fontId="3" fillId="2" borderId="0" xfId="0" applyFont="1" applyFill="1"/>
    <xf numFmtId="0" fontId="5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2" xfId="2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/>
    </xf>
    <xf numFmtId="0" fontId="4" fillId="0" borderId="0" xfId="0" applyFont="1"/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9" xfId="0" applyFont="1" applyBorder="1" applyAlignment="1" applyProtection="1">
      <alignment horizontal="left" vertical="top"/>
      <protection locked="0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10" fillId="0" borderId="0" xfId="0" applyFont="1" applyAlignment="1">
      <alignment horizontal="center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  <protection locked="0"/>
    </xf>
  </cellXfs>
  <cellStyles count="3">
    <cellStyle name="Currency" xfId="1" builtinId="4"/>
    <cellStyle name="Normal" xfId="0" builtinId="0"/>
    <cellStyle name="Per cent" xfId="2" builtinId="5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20955</xdr:colOff>
      <xdr:row>0</xdr:row>
      <xdr:rowOff>161925</xdr:rowOff>
    </xdr:from>
    <xdr:to>
      <xdr:col>17</xdr:col>
      <xdr:colOff>1905</xdr:colOff>
      <xdr:row>3</xdr:row>
      <xdr:rowOff>132356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9BB603-B9CA-4FAB-93A9-F2207D3402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81" t="11755" b="13042"/>
        <a:stretch/>
      </xdr:blipFill>
      <xdr:spPr>
        <a:xfrm>
          <a:off x="6374130" y="161925"/>
          <a:ext cx="1750695" cy="6409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019B2-94E4-4E61-92A2-4A82B2335BB7}">
  <sheetPr codeName="Sheet1"/>
  <dimension ref="A1:Y26"/>
  <sheetViews>
    <sheetView showGridLines="0" tabSelected="1" zoomScale="92" zoomScaleNormal="100" workbookViewId="0">
      <selection activeCell="I11" sqref="I11"/>
    </sheetView>
  </sheetViews>
  <sheetFormatPr defaultColWidth="8.88671875" defaultRowHeight="13.8" x14ac:dyDescent="0.25"/>
  <cols>
    <col min="1" max="1" width="5.44140625" style="1" customWidth="1"/>
    <col min="2" max="2" width="11.109375" style="1" customWidth="1"/>
    <col min="3" max="3" width="11.109375" style="1" hidden="1" customWidth="1"/>
    <col min="4" max="4" width="12.6640625" style="1" customWidth="1"/>
    <col min="5" max="5" width="12.6640625" style="1" hidden="1" customWidth="1"/>
    <col min="6" max="6" width="12.6640625" style="1" customWidth="1"/>
    <col min="7" max="8" width="12.6640625" style="1" hidden="1" customWidth="1"/>
    <col min="9" max="9" width="12.6640625" style="1" customWidth="1"/>
    <col min="10" max="10" width="14.44140625" style="1" bestFit="1" customWidth="1"/>
    <col min="11" max="11" width="14.44140625" style="1" hidden="1" customWidth="1"/>
    <col min="12" max="12" width="27.5546875" style="1" customWidth="1"/>
    <col min="13" max="13" width="9.88671875" style="1" customWidth="1"/>
    <col min="14" max="14" width="7.88671875" style="1" customWidth="1"/>
    <col min="15" max="15" width="8.33203125" style="1" customWidth="1"/>
    <col min="16" max="16" width="9.33203125" style="1" customWidth="1"/>
    <col min="17" max="17" width="25.6640625" style="1" customWidth="1"/>
    <col min="18" max="18" width="4.88671875" style="1" customWidth="1"/>
    <col min="19" max="19" width="39.21875" style="1" hidden="1" customWidth="1"/>
    <col min="20" max="20" width="8.88671875" style="1" customWidth="1"/>
    <col min="21" max="21" width="8.88671875" style="31" hidden="1" customWidth="1"/>
    <col min="22" max="22" width="10.33203125" style="1" hidden="1" customWidth="1"/>
    <col min="23" max="23" width="13.88671875" style="1" hidden="1" customWidth="1"/>
    <col min="24" max="24" width="8.88671875" style="1" customWidth="1"/>
    <col min="25" max="25" width="11.44140625" style="1" customWidth="1"/>
    <col min="26" max="16384" width="8.88671875" style="1"/>
  </cols>
  <sheetData>
    <row r="1" spans="1:25" ht="14.4" customHeight="1" x14ac:dyDescent="0.25"/>
    <row r="2" spans="1:25" ht="14.4" customHeight="1" thickBot="1" x14ac:dyDescent="0.3">
      <c r="M2" s="58" t="s">
        <v>0</v>
      </c>
      <c r="N2" s="58"/>
      <c r="O2" s="39"/>
    </row>
    <row r="3" spans="1:25" ht="23.4" customHeight="1" thickBot="1" x14ac:dyDescent="0.45">
      <c r="A3" s="7" t="s">
        <v>1</v>
      </c>
      <c r="B3" s="7"/>
      <c r="C3" s="7"/>
      <c r="M3" s="59"/>
      <c r="N3" s="60"/>
      <c r="O3" s="46"/>
    </row>
    <row r="4" spans="1:25" ht="17.399999999999999" x14ac:dyDescent="0.3">
      <c r="A4" s="11" t="s">
        <v>2</v>
      </c>
      <c r="B4" s="40"/>
      <c r="C4" s="40"/>
      <c r="V4" s="28">
        <v>0.05</v>
      </c>
      <c r="Y4" s="28"/>
    </row>
    <row r="5" spans="1:25" ht="36" customHeight="1" x14ac:dyDescent="0.25">
      <c r="A5" s="3" t="s">
        <v>3</v>
      </c>
      <c r="B5" s="12" t="s">
        <v>67</v>
      </c>
      <c r="C5" s="12" t="s">
        <v>36</v>
      </c>
      <c r="D5" s="12" t="s">
        <v>65</v>
      </c>
      <c r="E5" s="12" t="s">
        <v>71</v>
      </c>
      <c r="F5" s="12" t="s">
        <v>66</v>
      </c>
      <c r="G5" s="12" t="s">
        <v>71</v>
      </c>
      <c r="H5" s="12" t="s">
        <v>69</v>
      </c>
      <c r="I5" s="12" t="s">
        <v>4</v>
      </c>
      <c r="J5" s="12" t="s">
        <v>5</v>
      </c>
      <c r="K5" s="12" t="s">
        <v>36</v>
      </c>
      <c r="L5" s="12" t="s">
        <v>35</v>
      </c>
      <c r="M5" s="12" t="s">
        <v>6</v>
      </c>
      <c r="N5" s="12" t="s">
        <v>81</v>
      </c>
      <c r="O5" s="12" t="s">
        <v>70</v>
      </c>
      <c r="P5" s="3" t="s">
        <v>7</v>
      </c>
      <c r="Q5" s="12" t="s">
        <v>8</v>
      </c>
      <c r="R5" s="27"/>
      <c r="S5" s="3" t="s">
        <v>9</v>
      </c>
      <c r="U5" s="33" t="s">
        <v>32</v>
      </c>
      <c r="V5" s="34" t="s">
        <v>34</v>
      </c>
      <c r="W5" s="34" t="s">
        <v>33</v>
      </c>
      <c r="Y5" s="29"/>
    </row>
    <row r="6" spans="1:25" s="9" customFormat="1" ht="21.6" customHeight="1" x14ac:dyDescent="0.3">
      <c r="A6" s="13">
        <v>1</v>
      </c>
      <c r="B6" s="16"/>
      <c r="C6" s="13" t="str">
        <f t="shared" ref="C6:C15" si="0">IF(OR(B6="Aperture",B6="External",B6=""),"", "L")</f>
        <v/>
      </c>
      <c r="D6" s="16"/>
      <c r="E6" s="16" t="e">
        <f>_xlfn.XLOOKUP(B6,'Blind Sizes'!$D$5:$D$14,'Blind Sizes'!$F$5:$F$14)</f>
        <v>#N/A</v>
      </c>
      <c r="F6" s="16"/>
      <c r="G6" s="16" t="e">
        <f>_xlfn.XLOOKUP(B6,'Blind Sizes'!$D$5:$D$14,'Blind Sizes'!$G$5:$G$14)</f>
        <v>#N/A</v>
      </c>
      <c r="H6" s="16">
        <f>IF(L6="Blackout/Fly - Full Travel ",1,0)</f>
        <v>0</v>
      </c>
      <c r="I6" s="16"/>
      <c r="J6" s="16"/>
      <c r="K6" s="16">
        <f>IF(L6="Fly/Fly - Meet in Middle",1,0)</f>
        <v>0</v>
      </c>
      <c r="L6" s="16"/>
      <c r="M6" s="16"/>
      <c r="N6" s="16"/>
      <c r="O6" s="16"/>
      <c r="P6" s="16"/>
      <c r="Q6" s="16"/>
      <c r="R6" s="23"/>
      <c r="S6" s="22" t="str">
        <f>_xlfn.TEXTJOIN("-",TRUE,
 "SSI",_xlfn.IFNA(_xlfn.XLOOKUP(TRIM(B6),'Blind Sizes'!D3:D21,'Blind Sizes'!E3:E21,""),""),
 IF(TRIM(B6)="Aperture",
    IFERROR(VALUE(D6)&amp;"-"&amp;VALUE(F6),""),
    IF(TRIM(B6)="External",
       IFERROR((VALUE(D6)-29)&amp;"-"&amp;(VALUE(F6)-52),""),
       _xlfn.IFNA(_xlfn.XLOOKUP(TRIM(B6),'Blind Sizes'!$D$5:$D$21,'Blind Sizes'!$F$5:$F$21,""),"")
       &amp;"-"&amp; _xlfn.IFNA(_xlfn.XLOOKUP(TRIM(B6),'Blind Sizes'!$D$5:$D$21,'Blind Sizes'!$G$5:$G$21,""),""))),
 _xlfn.IFNA(_xlfn.XLOOKUP(I6,'Product Code'!$B$3:$B$4,'Product Code'!$C$3:$C$4,""),""),
 IF($K6&gt;0,"FLY",_xlfn.IFNA(_xlfn.XLOOKUP(J6,'Product Code'!$E$3:$E$5,'Product Code'!$F$3:$F$5,""),"")),
 _xlfn.IFNA(_xlfn.XLOOKUP(L6,'Product Code'!$H$3:$H$5,'Product Code'!$I$3:$I$5,""),""),
 _xlfn.IFNA(_xlfn.XLOOKUP(M6,'Product Code'!$K$3:$K$4,'Product Code'!$L$3:$L$4,""),""),
 _xlfn.IFNA(_xlfn.XLOOKUP(N6,'Product Code'!$N$3:$N$5,'Product Code'!$O$3:$O$5,""),""),
 IF(OR(O6="Yes",IFERROR(D6,0)&gt;399,IFERROR(E6,0)&gt;399),"D",""))</f>
        <v>SSI--</v>
      </c>
      <c r="U6" s="35">
        <v>224.32</v>
      </c>
      <c r="V6" s="36">
        <f>U6*V4</f>
        <v>11.216000000000001</v>
      </c>
      <c r="W6" s="37">
        <f>U6+V6</f>
        <v>235.536</v>
      </c>
      <c r="Y6" s="30"/>
    </row>
    <row r="7" spans="1:25" s="2" customFormat="1" ht="21.6" customHeight="1" x14ac:dyDescent="0.25">
      <c r="A7" s="13">
        <f>+A6+1</f>
        <v>2</v>
      </c>
      <c r="B7" s="16"/>
      <c r="C7" s="13" t="str">
        <f t="shared" si="0"/>
        <v/>
      </c>
      <c r="D7" s="16"/>
      <c r="E7" s="16" t="e">
        <f>_xlfn.XLOOKUP(B7,'Blind Sizes'!$D$5:$D$14,'Blind Sizes'!$F$5:$F$14)</f>
        <v>#N/A</v>
      </c>
      <c r="F7" s="16"/>
      <c r="G7" s="16" t="e">
        <f>_xlfn.XLOOKUP(B7,'Blind Sizes'!$D$5:$D$14,'Blind Sizes'!$G$5:$G$14)</f>
        <v>#N/A</v>
      </c>
      <c r="H7" s="16">
        <f t="shared" ref="H7:H15" si="1">IF(L7="Blackout/Fly - Full Travel ",1,0)</f>
        <v>0</v>
      </c>
      <c r="I7" s="16"/>
      <c r="J7" s="16"/>
      <c r="K7" s="16">
        <f t="shared" ref="K7:K15" si="2">IF(L7="Fly/Fly - Meet in Middle",1,0)</f>
        <v>0</v>
      </c>
      <c r="L7" s="16"/>
      <c r="M7" s="16"/>
      <c r="N7" s="16"/>
      <c r="O7" s="16"/>
      <c r="P7" s="16"/>
      <c r="Q7" s="16"/>
      <c r="R7" s="23"/>
      <c r="S7" s="22" t="str">
        <f>_xlfn.TEXTJOIN("-",TRUE,
 "SSI",_xlfn.IFNA(_xlfn.XLOOKUP(TRIM(B7),'Blind Sizes'!D4:D22,'Blind Sizes'!E4:E22,""),""),
 IF(TRIM(B7)="Aperture",
    IFERROR(VALUE(D7)&amp;"-"&amp;VALUE(F7),""),
    IF(TRIM(B7)="External",
       IFERROR((VALUE(D7)-29)&amp;"-"&amp;(VALUE(F7)-52),""),
       _xlfn.IFNA(_xlfn.XLOOKUP(TRIM(B7),'Blind Sizes'!$D$5:$D$21,'Blind Sizes'!$F$5:$F$21,""),"")
       &amp;"-"&amp; _xlfn.IFNA(_xlfn.XLOOKUP(TRIM(B7),'Blind Sizes'!$D$5:$D$21,'Blind Sizes'!$G$5:$G$21,""),""))),
 _xlfn.IFNA(_xlfn.XLOOKUP(I7,'Product Code'!$B$3:$B$4,'Product Code'!$C$3:$C$4,""),""),
 IF($K7&gt;0,"FLY",_xlfn.IFNA(_xlfn.XLOOKUP(J7,'Product Code'!$E$3:$E$5,'Product Code'!$F$3:$F$5,""),"")),
 _xlfn.IFNA(_xlfn.XLOOKUP(L7,'Product Code'!$H$3:$H$5,'Product Code'!$I$3:$I$5,""),""),
 _xlfn.IFNA(_xlfn.XLOOKUP(M7,'Product Code'!$K$3:$K$4,'Product Code'!$L$3:$L$4,""),""),
 _xlfn.IFNA(_xlfn.XLOOKUP(N7,'Product Code'!$N$3:$N$5,'Product Code'!$O$3:$O$5,""),""),
 IF(OR(O7="Yes",IFERROR(D7,0)&gt;399,IFERROR(E7,0)&gt;399),"D",""))</f>
        <v>SSI--</v>
      </c>
      <c r="U7" s="35">
        <v>224.32</v>
      </c>
      <c r="V7" s="36">
        <f>U7*V4</f>
        <v>11.216000000000001</v>
      </c>
      <c r="W7" s="37">
        <f t="shared" ref="W7:W8" si="3">U7+V7</f>
        <v>235.536</v>
      </c>
      <c r="Y7" s="30"/>
    </row>
    <row r="8" spans="1:25" s="2" customFormat="1" ht="21.6" customHeight="1" x14ac:dyDescent="0.25">
      <c r="A8" s="13">
        <f t="shared" ref="A8:A15" si="4">+A7+1</f>
        <v>3</v>
      </c>
      <c r="B8" s="16"/>
      <c r="C8" s="13" t="str">
        <f t="shared" si="0"/>
        <v/>
      </c>
      <c r="D8" s="16"/>
      <c r="E8" s="16" t="e">
        <f>_xlfn.XLOOKUP(B8,'Blind Sizes'!$D$5:$D$14,'Blind Sizes'!$F$5:$F$14)</f>
        <v>#N/A</v>
      </c>
      <c r="F8" s="16"/>
      <c r="G8" s="16" t="e">
        <f>_xlfn.XLOOKUP(B8,'Blind Sizes'!$D$5:$D$14,'Blind Sizes'!$G$5:$G$14)</f>
        <v>#N/A</v>
      </c>
      <c r="H8" s="16">
        <f t="shared" si="1"/>
        <v>0</v>
      </c>
      <c r="I8" s="16"/>
      <c r="J8" s="16"/>
      <c r="K8" s="16">
        <f t="shared" si="2"/>
        <v>0</v>
      </c>
      <c r="L8" s="16"/>
      <c r="M8" s="16"/>
      <c r="N8" s="16"/>
      <c r="O8" s="16"/>
      <c r="P8" s="16"/>
      <c r="Q8" s="16"/>
      <c r="R8" s="23"/>
      <c r="S8" s="22" t="str">
        <f>_xlfn.TEXTJOIN("-",TRUE,
 "SSI",_xlfn.IFNA(_xlfn.XLOOKUP(TRIM(B8),'Blind Sizes'!D5:D23,'Blind Sizes'!E5:E23,""),""),
 IF(TRIM(B8)="Aperture",
    IFERROR(VALUE(D8)&amp;"-"&amp;VALUE(F8),""),
    IF(TRIM(B8)="External",
       IFERROR((VALUE(D8)-29)&amp;"-"&amp;(VALUE(F8)-52),""),
       _xlfn.IFNA(_xlfn.XLOOKUP(TRIM(B8),'Blind Sizes'!$D$5:$D$21,'Blind Sizes'!$F$5:$F$21,""),"")
       &amp;"-"&amp; _xlfn.IFNA(_xlfn.XLOOKUP(TRIM(B8),'Blind Sizes'!$D$5:$D$21,'Blind Sizes'!$G$5:$G$21,""),""))),
 _xlfn.IFNA(_xlfn.XLOOKUP(I8,'Product Code'!$B$3:$B$4,'Product Code'!$C$3:$C$4,""),""),
 IF($K8&gt;0,"FLY",_xlfn.IFNA(_xlfn.XLOOKUP(J8,'Product Code'!$E$3:$E$5,'Product Code'!$F$3:$F$5,""),"")),
 _xlfn.IFNA(_xlfn.XLOOKUP(L8,'Product Code'!$H$3:$H$5,'Product Code'!$I$3:$I$5,""),""),
 _xlfn.IFNA(_xlfn.XLOOKUP(M8,'Product Code'!$K$3:$K$4,'Product Code'!$L$3:$L$4,""),""),
 _xlfn.IFNA(_xlfn.XLOOKUP(N8,'Product Code'!$N$3:$N$5,'Product Code'!$O$3:$O$5,""),""),
 IF(OR(O8="Yes",IFERROR(D8,0)&gt;399,IFERROR(E8,0)&gt;399),"D",""))</f>
        <v>SSI--</v>
      </c>
      <c r="U8" s="35">
        <v>226.32</v>
      </c>
      <c r="V8" s="36">
        <f>U8*V4</f>
        <v>11.316000000000001</v>
      </c>
      <c r="W8" s="37">
        <f t="shared" si="3"/>
        <v>237.636</v>
      </c>
      <c r="Y8" s="30"/>
    </row>
    <row r="9" spans="1:25" s="2" customFormat="1" ht="21.6" customHeight="1" x14ac:dyDescent="0.25">
      <c r="A9" s="13">
        <f t="shared" si="4"/>
        <v>4</v>
      </c>
      <c r="B9" s="16"/>
      <c r="C9" s="13" t="str">
        <f t="shared" si="0"/>
        <v/>
      </c>
      <c r="D9" s="16"/>
      <c r="E9" s="16" t="e">
        <f>_xlfn.XLOOKUP(B9,'Blind Sizes'!$D$5:$D$14,'Blind Sizes'!$F$5:$F$14)</f>
        <v>#N/A</v>
      </c>
      <c r="F9" s="16"/>
      <c r="G9" s="16" t="e">
        <f>_xlfn.XLOOKUP(B9,'Blind Sizes'!$D$5:$D$14,'Blind Sizes'!$G$5:$G$14)</f>
        <v>#N/A</v>
      </c>
      <c r="H9" s="16">
        <f t="shared" si="1"/>
        <v>0</v>
      </c>
      <c r="I9" s="16"/>
      <c r="J9" s="16"/>
      <c r="K9" s="16">
        <f t="shared" si="2"/>
        <v>0</v>
      </c>
      <c r="L9" s="16"/>
      <c r="M9" s="16"/>
      <c r="N9" s="16"/>
      <c r="O9" s="16"/>
      <c r="P9" s="16"/>
      <c r="Q9" s="16"/>
      <c r="R9" s="23"/>
      <c r="S9" s="22" t="str">
        <f>_xlfn.TEXTJOIN("-",TRUE,
 "SSI",_xlfn.IFNA(_xlfn.XLOOKUP(TRIM(B9),'Blind Sizes'!D6:D24,'Blind Sizes'!E6:E24,""),""),
 IF(TRIM(B9)="Aperture",
    IFERROR(VALUE(D9)&amp;"-"&amp;VALUE(F9),""),
    IF(TRIM(B9)="External",
       IFERROR((VALUE(D9)-29)&amp;"-"&amp;(VALUE(F9)-52),""),
       _xlfn.IFNA(_xlfn.XLOOKUP(TRIM(B9),'Blind Sizes'!$D$5:$D$21,'Blind Sizes'!$F$5:$F$21,""),"")
       &amp;"-"&amp; _xlfn.IFNA(_xlfn.XLOOKUP(TRIM(B9),'Blind Sizes'!$D$5:$D$21,'Blind Sizes'!$G$5:$G$21,""),""))),
 _xlfn.IFNA(_xlfn.XLOOKUP(I9,'Product Code'!$B$3:$B$4,'Product Code'!$C$3:$C$4,""),""),
 IF($K9&gt;0,"FLY",_xlfn.IFNA(_xlfn.XLOOKUP(J9,'Product Code'!$E$3:$E$5,'Product Code'!$F$3:$F$5,""),"")),
 _xlfn.IFNA(_xlfn.XLOOKUP(L9,'Product Code'!$H$3:$H$5,'Product Code'!$I$3:$I$5,""),""),
 _xlfn.IFNA(_xlfn.XLOOKUP(M9,'Product Code'!$K$3:$K$4,'Product Code'!$L$3:$L$4,""),""),
 _xlfn.IFNA(_xlfn.XLOOKUP(N9,'Product Code'!$N$3:$N$5,'Product Code'!$O$3:$O$5,""),""),
 IF(OR(O9="Yes",IFERROR(D9,0)&gt;399,IFERROR(E9,0)&gt;399),"D",""))</f>
        <v>SSI--</v>
      </c>
      <c r="U9" s="32" t="s">
        <v>10</v>
      </c>
    </row>
    <row r="10" spans="1:25" s="2" customFormat="1" ht="21.6" customHeight="1" x14ac:dyDescent="0.25">
      <c r="A10" s="13">
        <f t="shared" si="4"/>
        <v>5</v>
      </c>
      <c r="B10" s="16"/>
      <c r="C10" s="13" t="str">
        <f t="shared" si="0"/>
        <v/>
      </c>
      <c r="D10" s="16"/>
      <c r="E10" s="16" t="e">
        <f>_xlfn.XLOOKUP(B10,'Blind Sizes'!$D$5:$D$14,'Blind Sizes'!$F$5:$F$14)</f>
        <v>#N/A</v>
      </c>
      <c r="F10" s="16"/>
      <c r="G10" s="16" t="e">
        <f>_xlfn.XLOOKUP(B10,'Blind Sizes'!$D$5:$D$14,'Blind Sizes'!$G$5:$G$14)</f>
        <v>#N/A</v>
      </c>
      <c r="H10" s="16">
        <f t="shared" si="1"/>
        <v>0</v>
      </c>
      <c r="I10" s="16"/>
      <c r="J10" s="16"/>
      <c r="K10" s="16">
        <f t="shared" si="2"/>
        <v>0</v>
      </c>
      <c r="L10" s="16"/>
      <c r="M10" s="16"/>
      <c r="N10" s="16"/>
      <c r="O10" s="16"/>
      <c r="P10" s="16"/>
      <c r="Q10" s="16"/>
      <c r="R10" s="23"/>
      <c r="S10" s="22" t="str">
        <f>_xlfn.TEXTJOIN("-",TRUE,
 "SSI",_xlfn.IFNA(_xlfn.XLOOKUP(TRIM(B10),'Blind Sizes'!D7:D25,'Blind Sizes'!E7:E25,""),""),
 IF(TRIM(B10)="Aperture",
    IFERROR(VALUE(D10)&amp;"-"&amp;VALUE(F10),""),
    IF(TRIM(B10)="External",
       IFERROR((VALUE(D10)-29)&amp;"-"&amp;(VALUE(F10)-52),""),
       _xlfn.IFNA(_xlfn.XLOOKUP(TRIM(B10),'Blind Sizes'!$D$5:$D$21,'Blind Sizes'!$F$5:$F$21,""),"")
       &amp;"-"&amp; _xlfn.IFNA(_xlfn.XLOOKUP(TRIM(B10),'Blind Sizes'!$D$5:$D$21,'Blind Sizes'!$G$5:$G$21,""),""))),
 _xlfn.IFNA(_xlfn.XLOOKUP(I10,'Product Code'!$B$3:$B$4,'Product Code'!$C$3:$C$4,""),""),
 IF($K10&gt;0,"FLY",_xlfn.IFNA(_xlfn.XLOOKUP(J10,'Product Code'!$E$3:$E$5,'Product Code'!$F$3:$F$5,""),"")),
 _xlfn.IFNA(_xlfn.XLOOKUP(L10,'Product Code'!$H$3:$H$5,'Product Code'!$I$3:$I$5,""),""),
 _xlfn.IFNA(_xlfn.XLOOKUP(M10,'Product Code'!$K$3:$K$4,'Product Code'!$L$3:$L$4,""),""),
 _xlfn.IFNA(_xlfn.XLOOKUP(N10,'Product Code'!$N$3:$N$5,'Product Code'!$O$3:$O$5,""),""),
 IF(OR(O10="Yes",IFERROR(D10,0)&gt;399,IFERROR(E10,0)&gt;399),"D",""))</f>
        <v>SSI--</v>
      </c>
      <c r="U10" s="32"/>
    </row>
    <row r="11" spans="1:25" s="2" customFormat="1" ht="21.6" customHeight="1" x14ac:dyDescent="0.25">
      <c r="A11" s="13">
        <f t="shared" si="4"/>
        <v>6</v>
      </c>
      <c r="B11" s="16"/>
      <c r="C11" s="13" t="str">
        <f t="shared" si="0"/>
        <v/>
      </c>
      <c r="D11" s="16"/>
      <c r="E11" s="16" t="e">
        <f>_xlfn.XLOOKUP(B11,'Blind Sizes'!$D$5:$D$14,'Blind Sizes'!$F$5:$F$14)</f>
        <v>#N/A</v>
      </c>
      <c r="F11" s="16"/>
      <c r="G11" s="16" t="e">
        <f>_xlfn.XLOOKUP(B11,'Blind Sizes'!$D$5:$D$14,'Blind Sizes'!$G$5:$G$14)</f>
        <v>#N/A</v>
      </c>
      <c r="H11" s="16">
        <f t="shared" si="1"/>
        <v>0</v>
      </c>
      <c r="I11" s="16"/>
      <c r="J11" s="16"/>
      <c r="K11" s="16">
        <f t="shared" si="2"/>
        <v>0</v>
      </c>
      <c r="L11" s="16"/>
      <c r="M11" s="16"/>
      <c r="N11" s="16"/>
      <c r="O11" s="16"/>
      <c r="P11" s="16"/>
      <c r="Q11" s="16"/>
      <c r="R11" s="23"/>
      <c r="S11" s="22" t="str">
        <f>_xlfn.TEXTJOIN("-",TRUE,
 "SSI",_xlfn.IFNA(_xlfn.XLOOKUP(TRIM(B11),'Blind Sizes'!D8:D26,'Blind Sizes'!E8:E26,""),""),
 IF(TRIM(B11)="Aperture",
    IFERROR(VALUE(D11)&amp;"-"&amp;VALUE(F11),""),
    IF(TRIM(B11)="External",
       IFERROR((VALUE(D11)-29)&amp;"-"&amp;(VALUE(F11)-52),""),
       _xlfn.IFNA(_xlfn.XLOOKUP(TRIM(B11),'Blind Sizes'!$D$5:$D$21,'Blind Sizes'!$F$5:$F$21,""),"")
       &amp;"-"&amp; _xlfn.IFNA(_xlfn.XLOOKUP(TRIM(B11),'Blind Sizes'!$D$5:$D$21,'Blind Sizes'!$G$5:$G$21,""),""))),
 _xlfn.IFNA(_xlfn.XLOOKUP(I11,'Product Code'!$B$3:$B$4,'Product Code'!$C$3:$C$4,""),""),
 IF($K11&gt;0,"FLY",_xlfn.IFNA(_xlfn.XLOOKUP(J11,'Product Code'!$E$3:$E$5,'Product Code'!$F$3:$F$5,""),"")),
 _xlfn.IFNA(_xlfn.XLOOKUP(L11,'Product Code'!$H$3:$H$5,'Product Code'!$I$3:$I$5,""),""),
 _xlfn.IFNA(_xlfn.XLOOKUP(M11,'Product Code'!$K$3:$K$4,'Product Code'!$L$3:$L$4,""),""),
 _xlfn.IFNA(_xlfn.XLOOKUP(N11,'Product Code'!$N$3:$N$5,'Product Code'!$O$3:$O$5,""),""),
 IF(OR(O11="Yes",IFERROR(D11,0)&gt;399,IFERROR(E11,0)&gt;399),"D",""))</f>
        <v>SSI--</v>
      </c>
      <c r="U11" s="32"/>
    </row>
    <row r="12" spans="1:25" ht="21.6" customHeight="1" x14ac:dyDescent="0.25">
      <c r="A12" s="13">
        <f t="shared" si="4"/>
        <v>7</v>
      </c>
      <c r="B12" s="16"/>
      <c r="C12" s="13" t="str">
        <f t="shared" si="0"/>
        <v/>
      </c>
      <c r="D12" s="16"/>
      <c r="E12" s="16" t="e">
        <f>_xlfn.XLOOKUP(B12,'Blind Sizes'!$D$5:$D$14,'Blind Sizes'!$F$5:$F$14)</f>
        <v>#N/A</v>
      </c>
      <c r="F12" s="16"/>
      <c r="G12" s="16" t="e">
        <f>_xlfn.XLOOKUP(B12,'Blind Sizes'!$D$5:$D$14,'Blind Sizes'!$G$5:$G$14)</f>
        <v>#N/A</v>
      </c>
      <c r="H12" s="16">
        <f t="shared" si="1"/>
        <v>0</v>
      </c>
      <c r="I12" s="16"/>
      <c r="J12" s="16"/>
      <c r="K12" s="16">
        <f t="shared" si="2"/>
        <v>0</v>
      </c>
      <c r="L12" s="16"/>
      <c r="M12" s="16"/>
      <c r="N12" s="16"/>
      <c r="O12" s="16"/>
      <c r="P12" s="16"/>
      <c r="Q12" s="16"/>
      <c r="R12" s="23"/>
      <c r="S12" s="22" t="str">
        <f>_xlfn.TEXTJOIN("-",TRUE,
 "SSI",_xlfn.IFNA(_xlfn.XLOOKUP(TRIM(B12),'Blind Sizes'!D9:D27,'Blind Sizes'!E9:E27,""),""),
 IF(TRIM(B12)="Aperture",
    IFERROR(VALUE(D12)&amp;"-"&amp;VALUE(F12),""),
    IF(TRIM(B12)="External",
       IFERROR((VALUE(D12)-29)&amp;"-"&amp;(VALUE(F12)-52),""),
       _xlfn.IFNA(_xlfn.XLOOKUP(TRIM(B12),'Blind Sizes'!$D$5:$D$21,'Blind Sizes'!$F$5:$F$21,""),"")
       &amp;"-"&amp; _xlfn.IFNA(_xlfn.XLOOKUP(TRIM(B12),'Blind Sizes'!$D$5:$D$21,'Blind Sizes'!$G$5:$G$21,""),""))),
 _xlfn.IFNA(_xlfn.XLOOKUP(I12,'Product Code'!$B$3:$B$4,'Product Code'!$C$3:$C$4,""),""),
 IF($K12&gt;0,"FLY",_xlfn.IFNA(_xlfn.XLOOKUP(J12,'Product Code'!$E$3:$E$5,'Product Code'!$F$3:$F$5,""),"")),
 _xlfn.IFNA(_xlfn.XLOOKUP(L12,'Product Code'!$H$3:$H$5,'Product Code'!$I$3:$I$5,""),""),
 _xlfn.IFNA(_xlfn.XLOOKUP(M12,'Product Code'!$K$3:$K$4,'Product Code'!$L$3:$L$4,""),""),
 _xlfn.IFNA(_xlfn.XLOOKUP(N12,'Product Code'!$N$3:$N$5,'Product Code'!$O$3:$O$5,""),""),
 IF(OR(O12="Yes",IFERROR(D12,0)&gt;399,IFERROR(E12,0)&gt;399),"D",""))</f>
        <v>SSI--</v>
      </c>
    </row>
    <row r="13" spans="1:25" ht="21.6" customHeight="1" x14ac:dyDescent="0.25">
      <c r="A13" s="13">
        <f t="shared" si="4"/>
        <v>8</v>
      </c>
      <c r="B13" s="16"/>
      <c r="C13" s="13" t="str">
        <f t="shared" si="0"/>
        <v/>
      </c>
      <c r="D13" s="16"/>
      <c r="E13" s="16" t="e">
        <f>_xlfn.XLOOKUP(B13,'Blind Sizes'!$D$5:$D$14,'Blind Sizes'!$F$5:$F$14)</f>
        <v>#N/A</v>
      </c>
      <c r="F13" s="16"/>
      <c r="G13" s="16" t="e">
        <f>_xlfn.XLOOKUP(B13,'Blind Sizes'!$D$5:$D$14,'Blind Sizes'!$G$5:$G$14)</f>
        <v>#N/A</v>
      </c>
      <c r="H13" s="16">
        <f t="shared" si="1"/>
        <v>0</v>
      </c>
      <c r="I13" s="16"/>
      <c r="J13" s="16"/>
      <c r="K13" s="16">
        <f t="shared" si="2"/>
        <v>0</v>
      </c>
      <c r="L13" s="16"/>
      <c r="M13" s="16"/>
      <c r="N13" s="16"/>
      <c r="O13" s="16"/>
      <c r="P13" s="16"/>
      <c r="Q13" s="16"/>
      <c r="R13" s="23"/>
      <c r="S13" s="22" t="str">
        <f>_xlfn.TEXTJOIN("-",TRUE,
 "SSI",_xlfn.IFNA(_xlfn.XLOOKUP(TRIM(B13),'Blind Sizes'!D10:D28,'Blind Sizes'!E10:E28,""),""),
 IF(TRIM(B13)="Aperture",
    IFERROR(VALUE(D13)&amp;"-"&amp;VALUE(F13),""),
    IF(TRIM(B13)="External",
       IFERROR((VALUE(D13)-29)&amp;"-"&amp;(VALUE(F13)-52),""),
       _xlfn.IFNA(_xlfn.XLOOKUP(TRIM(B13),'Blind Sizes'!$D$5:$D$21,'Blind Sizes'!$F$5:$F$21,""),"")
       &amp;"-"&amp; _xlfn.IFNA(_xlfn.XLOOKUP(TRIM(B13),'Blind Sizes'!$D$5:$D$21,'Blind Sizes'!$G$5:$G$21,""),""))),
 _xlfn.IFNA(_xlfn.XLOOKUP(I13,'Product Code'!$B$3:$B$4,'Product Code'!$C$3:$C$4,""),""),
 IF($K13&gt;0,"FLY",_xlfn.IFNA(_xlfn.XLOOKUP(J13,'Product Code'!$E$3:$E$5,'Product Code'!$F$3:$F$5,""),"")),
 _xlfn.IFNA(_xlfn.XLOOKUP(L13,'Product Code'!$H$3:$H$5,'Product Code'!$I$3:$I$5,""),""),
 _xlfn.IFNA(_xlfn.XLOOKUP(M13,'Product Code'!$K$3:$K$4,'Product Code'!$L$3:$L$4,""),""),
 _xlfn.IFNA(_xlfn.XLOOKUP(N13,'Product Code'!$N$3:$N$5,'Product Code'!$O$3:$O$5,""),""),
 IF(OR(O13="Yes",IFERROR(D13,0)&gt;399,IFERROR(E13,0)&gt;399),"D",""))</f>
        <v>SSI--</v>
      </c>
    </row>
    <row r="14" spans="1:25" ht="21.6" customHeight="1" x14ac:dyDescent="0.25">
      <c r="A14" s="13">
        <f t="shared" si="4"/>
        <v>9</v>
      </c>
      <c r="B14" s="16"/>
      <c r="C14" s="13" t="str">
        <f t="shared" si="0"/>
        <v/>
      </c>
      <c r="D14" s="16"/>
      <c r="E14" s="16" t="e">
        <f>_xlfn.XLOOKUP(B14,'Blind Sizes'!$D$5:$D$14,'Blind Sizes'!$F$5:$F$14)</f>
        <v>#N/A</v>
      </c>
      <c r="F14" s="16"/>
      <c r="G14" s="16" t="e">
        <f>_xlfn.XLOOKUP(B14,'Blind Sizes'!$D$5:$D$14,'Blind Sizes'!$G$5:$G$14)</f>
        <v>#N/A</v>
      </c>
      <c r="H14" s="16">
        <f t="shared" si="1"/>
        <v>0</v>
      </c>
      <c r="I14" s="16"/>
      <c r="J14" s="16"/>
      <c r="K14" s="16">
        <f t="shared" si="2"/>
        <v>0</v>
      </c>
      <c r="L14" s="16"/>
      <c r="M14" s="16"/>
      <c r="N14" s="16"/>
      <c r="O14" s="16"/>
      <c r="P14" s="16"/>
      <c r="Q14" s="16"/>
      <c r="R14" s="23"/>
      <c r="S14" s="22" t="str">
        <f>_xlfn.TEXTJOIN("-",TRUE,
 "SSI",_xlfn.IFNA(_xlfn.XLOOKUP(TRIM(B14),'Blind Sizes'!D11:D29,'Blind Sizes'!E11:E29,""),""),
 IF(TRIM(B14)="Aperture",
    IFERROR(VALUE(D14)&amp;"-"&amp;VALUE(F14),""),
    IF(TRIM(B14)="External",
       IFERROR((VALUE(D14)-29)&amp;"-"&amp;(VALUE(F14)-52),""),
       _xlfn.IFNA(_xlfn.XLOOKUP(TRIM(B14),'Blind Sizes'!$D$5:$D$21,'Blind Sizes'!$F$5:$F$21,""),"")
       &amp;"-"&amp; _xlfn.IFNA(_xlfn.XLOOKUP(TRIM(B14),'Blind Sizes'!$D$5:$D$21,'Blind Sizes'!$G$5:$G$21,""),""))),
 _xlfn.IFNA(_xlfn.XLOOKUP(I14,'Product Code'!$B$3:$B$4,'Product Code'!$C$3:$C$4,""),""),
 IF($K14&gt;0,"FLY",_xlfn.IFNA(_xlfn.XLOOKUP(J14,'Product Code'!$E$3:$E$5,'Product Code'!$F$3:$F$5,""),"")),
 _xlfn.IFNA(_xlfn.XLOOKUP(L14,'Product Code'!$H$3:$H$5,'Product Code'!$I$3:$I$5,""),""),
 _xlfn.IFNA(_xlfn.XLOOKUP(M14,'Product Code'!$K$3:$K$4,'Product Code'!$L$3:$L$4,""),""),
 _xlfn.IFNA(_xlfn.XLOOKUP(N14,'Product Code'!$N$3:$N$5,'Product Code'!$O$3:$O$5,""),""),
 IF(OR(O14="Yes",IFERROR(D14,0)&gt;399,IFERROR(E14,0)&gt;399),"D",""))</f>
        <v>SSI--</v>
      </c>
    </row>
    <row r="15" spans="1:25" ht="21.6" customHeight="1" x14ac:dyDescent="0.25">
      <c r="A15" s="13">
        <f t="shared" si="4"/>
        <v>10</v>
      </c>
      <c r="B15" s="16"/>
      <c r="C15" s="13" t="str">
        <f t="shared" si="0"/>
        <v/>
      </c>
      <c r="D15" s="16"/>
      <c r="E15" s="16" t="e">
        <f>_xlfn.XLOOKUP(B15,'Blind Sizes'!$D$5:$D$14,'Blind Sizes'!$F$5:$F$14)</f>
        <v>#N/A</v>
      </c>
      <c r="F15" s="16"/>
      <c r="G15" s="16" t="e">
        <f>_xlfn.XLOOKUP(B15,'Blind Sizes'!$D$5:$D$14,'Blind Sizes'!$G$5:$G$14)</f>
        <v>#N/A</v>
      </c>
      <c r="H15" s="16">
        <f t="shared" si="1"/>
        <v>0</v>
      </c>
      <c r="I15" s="16"/>
      <c r="J15" s="16"/>
      <c r="K15" s="16">
        <f t="shared" si="2"/>
        <v>0</v>
      </c>
      <c r="L15" s="16"/>
      <c r="M15" s="16"/>
      <c r="N15" s="16"/>
      <c r="O15" s="16"/>
      <c r="P15" s="16"/>
      <c r="Q15" s="16"/>
      <c r="R15" s="23"/>
      <c r="S15" s="22" t="str">
        <f>_xlfn.TEXTJOIN("-",TRUE,
 "SSI",_xlfn.IFNA(_xlfn.XLOOKUP(TRIM(B15),'Blind Sizes'!D12:D30,'Blind Sizes'!E12:E30,""),""),
 IF(TRIM(B15)="Aperture",
    IFERROR(VALUE(D15)&amp;"-"&amp;VALUE(F15),""),
    IF(TRIM(B15)="External",
       IFERROR((VALUE(D15)-29)&amp;"-"&amp;(VALUE(F15)-52),""),
       _xlfn.IFNA(_xlfn.XLOOKUP(TRIM(B15),'Blind Sizes'!$D$5:$D$21,'Blind Sizes'!$F$5:$F$21,""),"")
       &amp;"-"&amp; _xlfn.IFNA(_xlfn.XLOOKUP(TRIM(B15),'Blind Sizes'!$D$5:$D$21,'Blind Sizes'!$G$5:$G$21,""),""))),
 _xlfn.IFNA(_xlfn.XLOOKUP(I15,'Product Code'!$B$3:$B$4,'Product Code'!$C$3:$C$4,""),""),
 IF($K15&gt;0,"FLY",_xlfn.IFNA(_xlfn.XLOOKUP(J15,'Product Code'!$E$3:$E$5,'Product Code'!$F$3:$F$5,""),"")),
 _xlfn.IFNA(_xlfn.XLOOKUP(L15,'Product Code'!$H$3:$H$5,'Product Code'!$I$3:$I$5,""),""),
 _xlfn.IFNA(_xlfn.XLOOKUP(M15,'Product Code'!$K$3:$K$4,'Product Code'!$L$3:$L$4,""),""),
 _xlfn.IFNA(_xlfn.XLOOKUP(N15,'Product Code'!$N$3:$N$5,'Product Code'!$O$3:$O$5,""),""),
 IF(OR(O15="Yes",IFERROR(D15,0)&gt;399,IFERROR(E15,0)&gt;399),"D",""))</f>
        <v>SSI--</v>
      </c>
    </row>
    <row r="16" spans="1:25" ht="31.8" customHeight="1" x14ac:dyDescent="0.25">
      <c r="A16" s="23"/>
      <c r="B16" s="23"/>
      <c r="C16" s="23"/>
      <c r="D16" s="62" t="str">
        <f>IF(AND(OR(H6=1,H7=1,H8=1,H9=1,H10=1,H11=1,H12=1,H13=1,H14=1,H15=1),OR(F6&gt;800,F7&gt;800,F8&gt;800,F9&gt;800,F10&gt;800,F11&gt;800,F12&gt;800,F13&gt;800,F14&gt;800,F15&gt;800)),"Full Travel Blinds Have A Max Drop of 800mm, Over This Will Need To Be Meet In The Middle","")</f>
        <v/>
      </c>
      <c r="E16" s="62"/>
      <c r="F16" s="62"/>
      <c r="G16" s="62"/>
      <c r="H16" s="62"/>
      <c r="I16" s="62"/>
      <c r="J16" s="21"/>
      <c r="K16" s="21"/>
      <c r="L16" s="21"/>
      <c r="M16" s="62" t="str" cm="1">
        <f t="array" ref="M16">IF(SUMPRODUCT(--(TRIM(UPPER(M6:M15))="NONE"), --((TRIM(UPPER(N6:N15))="LINER") + (TRIM(UPPER(N6:N15))="SEAL")))&gt;0,
   "If Liner Or Seal Requested, Then A Radius Is Required","")</f>
        <v/>
      </c>
      <c r="N16" s="62"/>
      <c r="O16" s="62" t="str" cm="1">
        <f t="array" ref="O16">IF(AND(SUMPRODUCT(--(IFERROR(D6:E15,0)&gt;399))&gt;0, COUNTIF(O6:O15,"No")&gt;0),
   "Blinds Over 399mm Width Are Supplied With A Damper",
   "")</f>
        <v/>
      </c>
      <c r="P16" s="62"/>
      <c r="Q16" s="21"/>
      <c r="R16" s="23"/>
      <c r="S16" s="45"/>
    </row>
    <row r="17" spans="1:19" ht="13.35" customHeight="1" x14ac:dyDescent="0.25">
      <c r="A17" s="10" t="s">
        <v>11</v>
      </c>
      <c r="B17" s="10"/>
      <c r="C17" s="10"/>
      <c r="D17" s="8"/>
      <c r="E17" s="8"/>
      <c r="F17" s="8"/>
      <c r="G17" s="8"/>
      <c r="H17" s="8"/>
      <c r="I17" s="8"/>
      <c r="J17" s="8"/>
      <c r="K17" s="8"/>
      <c r="L17" s="8"/>
      <c r="M17" s="8"/>
      <c r="P17" s="8"/>
      <c r="Q17" s="8"/>
      <c r="R17" s="8"/>
    </row>
    <row r="18" spans="1:19" ht="13.35" customHeight="1" x14ac:dyDescent="0.25">
      <c r="A18" s="10" t="s">
        <v>12</v>
      </c>
      <c r="B18" s="10"/>
      <c r="C18" s="10"/>
      <c r="I18" s="17"/>
      <c r="J18" s="24"/>
      <c r="K18" s="24"/>
      <c r="L18" s="24"/>
      <c r="M18" s="24"/>
      <c r="N18" s="24"/>
      <c r="O18" s="24"/>
      <c r="P18" s="17" t="s">
        <v>13</v>
      </c>
      <c r="Q18" s="18"/>
      <c r="R18" s="23"/>
    </row>
    <row r="19" spans="1:19" ht="13.35" customHeight="1" x14ac:dyDescent="0.25">
      <c r="A19" s="49"/>
      <c r="B19" s="50"/>
      <c r="C19" s="50"/>
      <c r="D19" s="50"/>
      <c r="E19" s="50"/>
      <c r="F19" s="50"/>
      <c r="G19" s="50"/>
      <c r="H19" s="50"/>
      <c r="I19" s="50"/>
      <c r="J19" s="51"/>
      <c r="K19" s="38"/>
      <c r="L19" s="38"/>
      <c r="M19" s="10"/>
      <c r="N19" s="10"/>
      <c r="O19" s="10"/>
      <c r="P19" s="17" t="s">
        <v>14</v>
      </c>
      <c r="Q19" s="19"/>
      <c r="R19" s="25"/>
    </row>
    <row r="20" spans="1:19" ht="13.35" customHeight="1" x14ac:dyDescent="0.25">
      <c r="A20" s="52"/>
      <c r="B20" s="53"/>
      <c r="C20" s="53"/>
      <c r="D20" s="53"/>
      <c r="E20" s="53"/>
      <c r="F20" s="53"/>
      <c r="G20" s="53"/>
      <c r="H20" s="53"/>
      <c r="I20" s="53"/>
      <c r="J20" s="54"/>
      <c r="K20" s="38"/>
      <c r="L20" s="38"/>
      <c r="M20" s="24"/>
      <c r="N20" s="24"/>
      <c r="O20" s="24"/>
      <c r="P20" s="17" t="s">
        <v>15</v>
      </c>
      <c r="Q20" s="18"/>
      <c r="R20" s="23"/>
    </row>
    <row r="21" spans="1:19" ht="13.35" customHeight="1" x14ac:dyDescent="0.25">
      <c r="A21" s="52"/>
      <c r="B21" s="53"/>
      <c r="C21" s="53"/>
      <c r="D21" s="53"/>
      <c r="E21" s="53"/>
      <c r="F21" s="53"/>
      <c r="G21" s="53"/>
      <c r="H21" s="53"/>
      <c r="I21" s="53"/>
      <c r="J21" s="54"/>
      <c r="K21" s="38"/>
      <c r="L21" s="38"/>
      <c r="M21" s="10"/>
      <c r="N21" s="10"/>
      <c r="O21" s="10"/>
      <c r="P21" s="17" t="s">
        <v>16</v>
      </c>
      <c r="Q21" s="20"/>
      <c r="R21" s="23"/>
    </row>
    <row r="22" spans="1:19" ht="13.35" customHeight="1" x14ac:dyDescent="0.25">
      <c r="A22" s="52"/>
      <c r="B22" s="53"/>
      <c r="C22" s="53"/>
      <c r="D22" s="53"/>
      <c r="E22" s="53"/>
      <c r="F22" s="53"/>
      <c r="G22" s="53"/>
      <c r="H22" s="53"/>
      <c r="I22" s="53"/>
      <c r="J22" s="54"/>
      <c r="K22" s="38"/>
      <c r="L22" s="38"/>
      <c r="M22" s="24"/>
      <c r="N22" s="24"/>
      <c r="O22" s="24"/>
      <c r="P22" s="17"/>
      <c r="Q22" s="21"/>
      <c r="R22" s="23"/>
    </row>
    <row r="23" spans="1:19" ht="13.35" customHeight="1" x14ac:dyDescent="0.25">
      <c r="A23" s="52"/>
      <c r="B23" s="53"/>
      <c r="C23" s="53"/>
      <c r="D23" s="53"/>
      <c r="E23" s="53"/>
      <c r="F23" s="53"/>
      <c r="G23" s="53"/>
      <c r="H23" s="53"/>
      <c r="I23" s="53"/>
      <c r="J23" s="54"/>
      <c r="K23" s="38"/>
      <c r="L23" s="38"/>
      <c r="M23" s="10"/>
      <c r="N23" s="10"/>
      <c r="O23" s="10"/>
      <c r="P23" s="17" t="s">
        <v>17</v>
      </c>
      <c r="Q23" s="18"/>
      <c r="R23" s="23"/>
    </row>
    <row r="24" spans="1:19" x14ac:dyDescent="0.25">
      <c r="A24" s="52"/>
      <c r="B24" s="53"/>
      <c r="C24" s="53"/>
      <c r="D24" s="53"/>
      <c r="E24" s="53"/>
      <c r="F24" s="53"/>
      <c r="G24" s="53"/>
      <c r="H24" s="53"/>
      <c r="I24" s="53"/>
      <c r="J24" s="54"/>
      <c r="K24" s="38"/>
      <c r="L24" s="38"/>
      <c r="M24" s="24"/>
      <c r="N24" s="24"/>
      <c r="O24" s="24"/>
      <c r="P24" s="26"/>
      <c r="Q24" s="20"/>
      <c r="R24" s="23"/>
    </row>
    <row r="25" spans="1:19" x14ac:dyDescent="0.25">
      <c r="A25" s="55"/>
      <c r="B25" s="56"/>
      <c r="C25" s="56"/>
      <c r="D25" s="56"/>
      <c r="E25" s="56"/>
      <c r="F25" s="56"/>
      <c r="G25" s="56"/>
      <c r="H25" s="56"/>
      <c r="I25" s="56"/>
      <c r="J25" s="57"/>
      <c r="K25" s="38"/>
      <c r="L25" s="38"/>
      <c r="M25" s="10"/>
      <c r="N25" s="10"/>
      <c r="O25" s="10"/>
      <c r="P25" s="26"/>
      <c r="Q25" s="18"/>
      <c r="R25" s="23"/>
    </row>
    <row r="26" spans="1:19" ht="35.1" customHeight="1" x14ac:dyDescent="0.2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14"/>
      <c r="R26" s="14"/>
      <c r="S26" s="14"/>
    </row>
  </sheetData>
  <sheetProtection algorithmName="SHA-512" hashValue="BH9UXsQ0/DnU2slzTvbrRMTIxaL+Lf8WwH2jkFa5MB8bknlhSLAB9kPTEreBQncGD/h/gmPiuTOhlGF1Eq3HjQ==" saltValue="gF1SZ9frUdZaNFVOb9py7Q==" spinCount="100000" sheet="1" selectLockedCells="1"/>
  <mergeCells count="7">
    <mergeCell ref="A19:J25"/>
    <mergeCell ref="M2:N2"/>
    <mergeCell ref="M3:N3"/>
    <mergeCell ref="A26:P26"/>
    <mergeCell ref="D16:I16"/>
    <mergeCell ref="O16:P16"/>
    <mergeCell ref="M16:N16"/>
  </mergeCells>
  <conditionalFormatting sqref="D6:H15 D16:E16">
    <cfRule type="expression" dxfId="1" priority="2">
      <formula>$C6="L"</formula>
    </cfRule>
  </conditionalFormatting>
  <conditionalFormatting sqref="J6:J15">
    <cfRule type="expression" dxfId="0" priority="1">
      <formula>$K6&gt;0</formula>
    </cfRule>
  </conditionalFormatting>
  <dataValidations count="1">
    <dataValidation type="list" allowBlank="1" showInputMessage="1" showErrorMessage="1" sqref="O6:O15" xr:uid="{0B0306F6-7EF2-4F84-8D68-8D4AC069F87E}">
      <formula1>"Yes, No"</formula1>
    </dataValidation>
  </dataValidations>
  <printOptions horizontalCentered="1"/>
  <pageMargins left="0.23622047244094491" right="0.23622047244094491" top="0.39370078740157483" bottom="0.39370078740157483" header="0.31496062992125984" footer="0.31496062992125984"/>
  <pageSetup paperSize="9" scale="99" orientation="landscape" r:id="rId1"/>
  <ignoredErrors>
    <ignoredError sqref="A7:A1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88FC6005-9AD9-4450-8C44-9291F66C6B88}">
          <x14:formula1>
            <xm:f>'Product Code'!$B$3:$B$4</xm:f>
          </x14:formula1>
          <xm:sqref>I6:I15</xm:sqref>
        </x14:dataValidation>
        <x14:dataValidation type="list" allowBlank="1" showInputMessage="1" showErrorMessage="1" xr:uid="{94D7F420-9EE1-4597-9133-DEE47A7B4161}">
          <x14:formula1>
            <xm:f>'Product Code'!$K$3:$K$4</xm:f>
          </x14:formula1>
          <xm:sqref>M6:M15</xm:sqref>
        </x14:dataValidation>
        <x14:dataValidation type="list" allowBlank="1" showInputMessage="1" showErrorMessage="1" xr:uid="{3479B401-F640-4D94-A34E-B54B3034664C}">
          <x14:formula1>
            <xm:f>'Product Code'!$H$3:$H$5</xm:f>
          </x14:formula1>
          <xm:sqref>L6:L16</xm:sqref>
        </x14:dataValidation>
        <x14:dataValidation type="list" allowBlank="1" showInputMessage="1" showErrorMessage="1" xr:uid="{3D96B6A5-4A11-4A54-9A9E-02E87BD9793A}">
          <x14:formula1>
            <xm:f>'Product Code'!$E$3:$E$5</xm:f>
          </x14:formula1>
          <xm:sqref>J6:J16 K16</xm:sqref>
        </x14:dataValidation>
        <x14:dataValidation type="list" allowBlank="1" showInputMessage="1" showErrorMessage="1" xr:uid="{943A7DEB-66B9-43AE-95BD-3D3A2234C94A}">
          <x14:formula1>
            <xm:f>'Blind Sizes'!$D$3:$D$14</xm:f>
          </x14:formula1>
          <xm:sqref>B16</xm:sqref>
        </x14:dataValidation>
        <x14:dataValidation type="list" allowBlank="1" showInputMessage="1" showErrorMessage="1" xr:uid="{9A22DB40-E2E7-437B-A42F-6A30D7A9057B}">
          <x14:formula1>
            <xm:f>'Product Code'!$N$3:$N$5</xm:f>
          </x14:formula1>
          <xm:sqref>N6:N15</xm:sqref>
        </x14:dataValidation>
        <x14:dataValidation type="whole" allowBlank="1" showInputMessage="1" showErrorMessage="1" xr:uid="{9FA14C20-A553-40FD-BD69-877D2C8D0195}">
          <x14:formula1>
            <xm:f>'Product Code'!$R$6</xm:f>
          </x14:formula1>
          <x14:formula2>
            <xm:f>'Product Code'!$S$6</xm:f>
          </x14:formula2>
          <xm:sqref>F6:F15</xm:sqref>
        </x14:dataValidation>
        <x14:dataValidation type="whole" allowBlank="1" showInputMessage="1" showErrorMessage="1" xr:uid="{C872FAAE-02C7-414E-A6F7-940734EE204A}">
          <x14:formula1>
            <xm:f>'Product Code'!$R$5</xm:f>
          </x14:formula1>
          <x14:formula2>
            <xm:f>'Product Code'!$S$5</xm:f>
          </x14:formula2>
          <xm:sqref>D6:D15</xm:sqref>
        </x14:dataValidation>
        <x14:dataValidation type="list" allowBlank="1" showInputMessage="1" showErrorMessage="1" xr:uid="{59C47C60-DD24-4879-B038-0A2116BFDE79}">
          <x14:formula1>
            <xm:f>'Blind Sizes'!$D$3:$D$21</xm:f>
          </x14:formula1>
          <xm:sqref>B6:B15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D578F-EE22-4F49-B1AB-ED9908F32915}">
  <sheetPr codeName="Sheet2"/>
  <dimension ref="A2:U8"/>
  <sheetViews>
    <sheetView workbookViewId="0">
      <selection activeCell="I3" sqref="I3"/>
    </sheetView>
  </sheetViews>
  <sheetFormatPr defaultColWidth="8.88671875" defaultRowHeight="14.4" x14ac:dyDescent="0.3"/>
  <cols>
    <col min="1" max="1" width="2.6640625" customWidth="1"/>
    <col min="2" max="2" width="15" bestFit="1" customWidth="1"/>
    <col min="3" max="3" width="5.33203125" bestFit="1" customWidth="1"/>
    <col min="4" max="4" width="3.6640625" customWidth="1"/>
    <col min="5" max="5" width="14.6640625" customWidth="1"/>
    <col min="6" max="6" width="5.33203125" bestFit="1" customWidth="1"/>
    <col min="7" max="7" width="3.6640625" customWidth="1"/>
    <col min="8" max="8" width="21.88671875" bestFit="1" customWidth="1"/>
    <col min="9" max="9" width="5.33203125" bestFit="1" customWidth="1"/>
    <col min="10" max="10" width="3.6640625" customWidth="1"/>
    <col min="11" max="11" width="6.6640625" bestFit="1" customWidth="1"/>
    <col min="12" max="12" width="5.33203125" bestFit="1" customWidth="1"/>
    <col min="13" max="13" width="3.6640625" customWidth="1"/>
    <col min="14" max="14" width="15" bestFit="1" customWidth="1"/>
    <col min="15" max="15" width="5.33203125" bestFit="1" customWidth="1"/>
    <col min="16" max="16" width="3.6640625" customWidth="1"/>
    <col min="17" max="17" width="5.21875" customWidth="1"/>
    <col min="20" max="21" width="0" hidden="1" customWidth="1"/>
  </cols>
  <sheetData>
    <row r="2" spans="1:21" x14ac:dyDescent="0.3">
      <c r="A2" s="5"/>
      <c r="B2" s="4" t="s">
        <v>18</v>
      </c>
      <c r="C2" s="4" t="s">
        <v>19</v>
      </c>
      <c r="D2" s="5"/>
      <c r="E2" s="4" t="s">
        <v>20</v>
      </c>
      <c r="F2" s="4" t="s">
        <v>19</v>
      </c>
      <c r="G2" s="5"/>
      <c r="H2" s="4" t="s">
        <v>36</v>
      </c>
      <c r="I2" s="4" t="s">
        <v>19</v>
      </c>
      <c r="J2" s="5"/>
      <c r="K2" s="4" t="s">
        <v>21</v>
      </c>
      <c r="L2" s="4"/>
      <c r="M2" s="5"/>
      <c r="N2" s="4" t="s">
        <v>22</v>
      </c>
      <c r="O2" s="4"/>
      <c r="R2" s="4" t="s">
        <v>73</v>
      </c>
      <c r="S2" s="4"/>
    </row>
    <row r="3" spans="1:21" x14ac:dyDescent="0.3">
      <c r="A3" s="5"/>
      <c r="B3" s="15" t="s">
        <v>23</v>
      </c>
      <c r="C3" s="5" t="s">
        <v>24</v>
      </c>
      <c r="D3" s="5"/>
      <c r="E3" s="5" t="s">
        <v>25</v>
      </c>
      <c r="F3" s="5" t="s">
        <v>26</v>
      </c>
      <c r="G3" s="5"/>
      <c r="H3" s="5" t="s">
        <v>79</v>
      </c>
      <c r="I3" s="5"/>
      <c r="J3" s="5"/>
      <c r="K3" s="5" t="s">
        <v>27</v>
      </c>
      <c r="L3" s="5"/>
      <c r="N3" s="5" t="s">
        <v>22</v>
      </c>
      <c r="O3" s="5" t="s">
        <v>28</v>
      </c>
      <c r="R3" t="s">
        <v>72</v>
      </c>
      <c r="T3" t="s">
        <v>44</v>
      </c>
    </row>
    <row r="4" spans="1:21" ht="28.8" x14ac:dyDescent="0.3">
      <c r="A4" s="5"/>
      <c r="B4" s="15" t="s">
        <v>29</v>
      </c>
      <c r="C4" s="5" t="s">
        <v>30</v>
      </c>
      <c r="D4" s="5"/>
      <c r="E4" s="5" t="s">
        <v>23</v>
      </c>
      <c r="F4" s="5" t="s">
        <v>24</v>
      </c>
      <c r="G4" s="5"/>
      <c r="H4" s="48" t="s">
        <v>80</v>
      </c>
      <c r="I4" s="5" t="s">
        <v>37</v>
      </c>
      <c r="J4" s="5"/>
      <c r="K4" s="5" t="s">
        <v>31</v>
      </c>
      <c r="L4" s="5" t="s">
        <v>31</v>
      </c>
      <c r="N4" s="5" t="s">
        <v>82</v>
      </c>
      <c r="O4" s="5" t="s">
        <v>83</v>
      </c>
      <c r="R4" s="5" t="s">
        <v>74</v>
      </c>
      <c r="S4" s="5" t="s">
        <v>75</v>
      </c>
      <c r="T4" s="5" t="s">
        <v>78</v>
      </c>
      <c r="U4" s="5" t="s">
        <v>75</v>
      </c>
    </row>
    <row r="5" spans="1:21" x14ac:dyDescent="0.3">
      <c r="A5" s="5"/>
      <c r="B5" s="6"/>
      <c r="C5" s="5"/>
      <c r="D5" s="5"/>
      <c r="E5" s="5" t="s">
        <v>29</v>
      </c>
      <c r="F5" s="5" t="s">
        <v>30</v>
      </c>
      <c r="G5" s="5"/>
      <c r="H5" s="5" t="s">
        <v>38</v>
      </c>
      <c r="I5" s="5" t="s">
        <v>39</v>
      </c>
      <c r="J5" s="5"/>
      <c r="K5" s="5"/>
      <c r="L5" s="5"/>
      <c r="N5" s="5" t="s">
        <v>27</v>
      </c>
      <c r="O5" s="5"/>
      <c r="Q5" s="47" t="s">
        <v>76</v>
      </c>
      <c r="R5">
        <f>IF('Enquiry Form'!B6="External",179,150)</f>
        <v>150</v>
      </c>
      <c r="S5">
        <f>IF('Enquiry Form'!B6="External",928,800)</f>
        <v>800</v>
      </c>
      <c r="T5">
        <f>150+29</f>
        <v>179</v>
      </c>
      <c r="U5">
        <f>800+29</f>
        <v>829</v>
      </c>
    </row>
    <row r="6" spans="1:2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N6" s="5"/>
      <c r="O6" s="5"/>
      <c r="Q6" s="5" t="s">
        <v>77</v>
      </c>
      <c r="R6">
        <f>IF('Enquiry Form'!B6="External",129,100)</f>
        <v>100</v>
      </c>
      <c r="S6">
        <f>IF('Enquiry Form'!B6="External",1052,1000)</f>
        <v>1000</v>
      </c>
      <c r="T6">
        <f>100+29</f>
        <v>129</v>
      </c>
      <c r="U6">
        <f>1000+52</f>
        <v>1052</v>
      </c>
    </row>
    <row r="7" spans="1:2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N7" s="5"/>
      <c r="O7" s="5"/>
    </row>
    <row r="8" spans="1:2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N8" s="5"/>
      <c r="O8" s="5"/>
    </row>
  </sheetData>
  <sortState xmlns:xlrd2="http://schemas.microsoft.com/office/spreadsheetml/2017/richdata2" ref="E3:F6">
    <sortCondition ref="E3:E6"/>
  </sortState>
  <dataValidations count="1">
    <dataValidation type="list" allowBlank="1" showInputMessage="1" showErrorMessage="1" sqref="N5:N8" xr:uid="{023529CA-C76A-408B-92A4-2D9D7E57E9F1}">
      <formula1>"Fixed Handle Nickel,Fixed Handle Colour, Articulating Handle, Fabric Handle,Powered 24V, Powered 230V"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119CA-1840-4564-AFC2-21F5F54426D1}">
  <sheetPr codeName="Sheet3"/>
  <dimension ref="C2:G21"/>
  <sheetViews>
    <sheetView workbookViewId="0">
      <selection activeCell="J16" sqref="J16"/>
    </sheetView>
  </sheetViews>
  <sheetFormatPr defaultRowHeight="14.4" x14ac:dyDescent="0.3"/>
  <cols>
    <col min="1" max="2" width="4.33203125" customWidth="1"/>
    <col min="3" max="3" width="16" bestFit="1" customWidth="1"/>
    <col min="4" max="4" width="11.5546875" bestFit="1" customWidth="1"/>
  </cols>
  <sheetData>
    <row r="2" spans="3:7" x14ac:dyDescent="0.3">
      <c r="C2" s="41" t="s">
        <v>40</v>
      </c>
      <c r="D2" s="41" t="s">
        <v>41</v>
      </c>
      <c r="E2" s="6" t="s">
        <v>19</v>
      </c>
      <c r="F2" s="6" t="s">
        <v>42</v>
      </c>
      <c r="G2" s="6" t="s">
        <v>43</v>
      </c>
    </row>
    <row r="3" spans="3:7" x14ac:dyDescent="0.3">
      <c r="C3" s="41"/>
      <c r="D3" s="21" t="s">
        <v>72</v>
      </c>
      <c r="E3" s="6"/>
      <c r="F3" s="6"/>
      <c r="G3" s="6"/>
    </row>
    <row r="4" spans="3:7" x14ac:dyDescent="0.3">
      <c r="D4" s="21" t="s">
        <v>44</v>
      </c>
    </row>
    <row r="5" spans="3:7" x14ac:dyDescent="0.3">
      <c r="C5" s="21" t="s">
        <v>68</v>
      </c>
      <c r="D5" s="42" t="s">
        <v>45</v>
      </c>
      <c r="E5" s="43" t="s">
        <v>46</v>
      </c>
      <c r="F5" s="44">
        <v>260</v>
      </c>
      <c r="G5" s="44">
        <v>260</v>
      </c>
    </row>
    <row r="6" spans="3:7" x14ac:dyDescent="0.3">
      <c r="C6" s="21" t="s">
        <v>68</v>
      </c>
      <c r="D6" s="42" t="s">
        <v>47</v>
      </c>
      <c r="E6" s="43" t="s">
        <v>48</v>
      </c>
      <c r="F6" s="44">
        <v>347</v>
      </c>
      <c r="G6" s="44">
        <v>202</v>
      </c>
    </row>
    <row r="7" spans="3:7" x14ac:dyDescent="0.3">
      <c r="C7" s="21" t="s">
        <v>68</v>
      </c>
      <c r="D7" s="42" t="s">
        <v>49</v>
      </c>
      <c r="E7" s="43" t="s">
        <v>50</v>
      </c>
      <c r="F7" s="44">
        <v>457</v>
      </c>
      <c r="G7" s="44">
        <v>327</v>
      </c>
    </row>
    <row r="8" spans="3:7" x14ac:dyDescent="0.3">
      <c r="C8" s="21" t="s">
        <v>68</v>
      </c>
      <c r="D8" s="42" t="s">
        <v>51</v>
      </c>
      <c r="E8" s="43" t="s">
        <v>52</v>
      </c>
      <c r="F8" s="44">
        <v>421</v>
      </c>
      <c r="G8" s="44">
        <v>421</v>
      </c>
    </row>
    <row r="9" spans="3:7" x14ac:dyDescent="0.3">
      <c r="C9" s="21" t="s">
        <v>68</v>
      </c>
      <c r="D9" s="43" t="s">
        <v>53</v>
      </c>
      <c r="E9" s="43" t="s">
        <v>54</v>
      </c>
      <c r="F9" s="44">
        <v>442</v>
      </c>
      <c r="G9" s="44">
        <v>442</v>
      </c>
    </row>
    <row r="10" spans="3:7" x14ac:dyDescent="0.3">
      <c r="C10" s="21" t="s">
        <v>68</v>
      </c>
      <c r="D10" s="43" t="s">
        <v>55</v>
      </c>
      <c r="E10" s="43" t="s">
        <v>56</v>
      </c>
      <c r="F10" s="44">
        <v>507</v>
      </c>
      <c r="G10" s="44">
        <v>377</v>
      </c>
    </row>
    <row r="11" spans="3:7" x14ac:dyDescent="0.3">
      <c r="C11" s="21" t="s">
        <v>68</v>
      </c>
      <c r="D11" s="43" t="s">
        <v>57</v>
      </c>
      <c r="E11" s="43" t="s">
        <v>58</v>
      </c>
      <c r="F11" s="44">
        <v>507</v>
      </c>
      <c r="G11" s="44">
        <v>392</v>
      </c>
    </row>
    <row r="12" spans="3:7" x14ac:dyDescent="0.3">
      <c r="C12" s="21" t="s">
        <v>68</v>
      </c>
      <c r="D12" s="43" t="s">
        <v>59</v>
      </c>
      <c r="E12" s="43" t="s">
        <v>60</v>
      </c>
      <c r="F12" s="44">
        <v>507</v>
      </c>
      <c r="G12" s="44">
        <v>507</v>
      </c>
    </row>
    <row r="13" spans="3:7" x14ac:dyDescent="0.3">
      <c r="C13" s="21" t="s">
        <v>68</v>
      </c>
      <c r="D13" s="43" t="s">
        <v>61</v>
      </c>
      <c r="E13" s="43" t="s">
        <v>62</v>
      </c>
      <c r="F13" s="44">
        <v>627</v>
      </c>
      <c r="G13" s="44">
        <v>627</v>
      </c>
    </row>
    <row r="14" spans="3:7" x14ac:dyDescent="0.3">
      <c r="C14" s="21" t="s">
        <v>68</v>
      </c>
      <c r="D14" s="43" t="s">
        <v>63</v>
      </c>
      <c r="E14" s="43" t="s">
        <v>64</v>
      </c>
      <c r="F14" s="44">
        <v>699</v>
      </c>
      <c r="G14" s="44">
        <v>699</v>
      </c>
    </row>
    <row r="15" spans="3:7" x14ac:dyDescent="0.3">
      <c r="C15" s="21" t="s">
        <v>68</v>
      </c>
      <c r="D15" s="43" t="s">
        <v>84</v>
      </c>
      <c r="E15" s="43" t="s">
        <v>85</v>
      </c>
      <c r="F15" s="44">
        <v>273</v>
      </c>
      <c r="G15" s="44">
        <v>273</v>
      </c>
    </row>
    <row r="16" spans="3:7" x14ac:dyDescent="0.3">
      <c r="C16" s="21" t="s">
        <v>68</v>
      </c>
      <c r="D16" s="43" t="s">
        <v>86</v>
      </c>
      <c r="E16" s="43" t="s">
        <v>87</v>
      </c>
      <c r="F16" s="44">
        <v>365</v>
      </c>
      <c r="G16" s="44">
        <v>232</v>
      </c>
    </row>
    <row r="17" spans="3:7" x14ac:dyDescent="0.3">
      <c r="C17" s="21" t="s">
        <v>68</v>
      </c>
      <c r="D17" s="43" t="s">
        <v>88</v>
      </c>
      <c r="E17" s="43" t="s">
        <v>89</v>
      </c>
      <c r="F17" s="44">
        <v>470</v>
      </c>
      <c r="G17" s="44">
        <v>340</v>
      </c>
    </row>
    <row r="18" spans="3:7" x14ac:dyDescent="0.3">
      <c r="C18" s="21" t="s">
        <v>68</v>
      </c>
      <c r="D18" s="43" t="s">
        <v>90</v>
      </c>
      <c r="E18" s="43" t="s">
        <v>91</v>
      </c>
      <c r="F18" s="44">
        <v>513</v>
      </c>
      <c r="G18" s="44">
        <v>513</v>
      </c>
    </row>
    <row r="19" spans="3:7" x14ac:dyDescent="0.3">
      <c r="C19" s="21" t="s">
        <v>68</v>
      </c>
      <c r="D19" s="43" t="s">
        <v>92</v>
      </c>
      <c r="E19" s="43" t="s">
        <v>93</v>
      </c>
      <c r="F19" s="44">
        <v>638</v>
      </c>
      <c r="G19" s="44">
        <v>638</v>
      </c>
    </row>
    <row r="20" spans="3:7" x14ac:dyDescent="0.3">
      <c r="C20" s="21" t="s">
        <v>68</v>
      </c>
      <c r="D20" s="43" t="s">
        <v>94</v>
      </c>
      <c r="E20" s="43" t="s">
        <v>95</v>
      </c>
      <c r="F20" s="44">
        <v>421</v>
      </c>
      <c r="G20" s="44">
        <v>421</v>
      </c>
    </row>
    <row r="21" spans="3:7" x14ac:dyDescent="0.3">
      <c r="C21" s="21" t="s">
        <v>68</v>
      </c>
      <c r="D21" s="43" t="s">
        <v>96</v>
      </c>
      <c r="E21" s="43" t="s">
        <v>97</v>
      </c>
      <c r="F21" s="44">
        <v>470</v>
      </c>
      <c r="G21" s="44">
        <v>470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8a4576-7320-4e02-8367-50eaa8d6c81a">
      <Terms xmlns="http://schemas.microsoft.com/office/infopath/2007/PartnerControls"/>
    </lcf76f155ced4ddcb4097134ff3c332f>
    <TaxCatchAll xmlns="d7564538-9a43-467c-9305-959c3453ee5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945642FD752D4CA468968F0680D551" ma:contentTypeVersion="18" ma:contentTypeDescription="Create a new document." ma:contentTypeScope="" ma:versionID="99e6356d317c514761f8fa2d3a8769ce">
  <xsd:schema xmlns:xsd="http://www.w3.org/2001/XMLSchema" xmlns:xs="http://www.w3.org/2001/XMLSchema" xmlns:p="http://schemas.microsoft.com/office/2006/metadata/properties" xmlns:ns2="4e8a4576-7320-4e02-8367-50eaa8d6c81a" xmlns:ns3="d7564538-9a43-467c-9305-959c3453ee53" targetNamespace="http://schemas.microsoft.com/office/2006/metadata/properties" ma:root="true" ma:fieldsID="46b90c2ffbb921351b307866847e2541" ns2:_="" ns3:_="">
    <xsd:import namespace="4e8a4576-7320-4e02-8367-50eaa8d6c81a"/>
    <xsd:import namespace="d7564538-9a43-467c-9305-959c3453ee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a4576-7320-4e02-8367-50eaa8d6c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dd2896c-5842-4467-9494-1014a6a5a5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64538-9a43-467c-9305-959c3453ee5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d46bc36-6744-4767-9ce8-3669b139f0c7}" ma:internalName="TaxCatchAll" ma:showField="CatchAllData" ma:web="d7564538-9a43-467c-9305-959c3453ee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D854D1-7A0A-4A8C-B8F3-B90FF8CA5EB5}">
  <ds:schemaRefs>
    <ds:schemaRef ds:uri="http://purl.org/dc/elements/1.1/"/>
    <ds:schemaRef ds:uri="4e8a4576-7320-4e02-8367-50eaa8d6c81a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d7564538-9a43-467c-9305-959c3453ee53"/>
  </ds:schemaRefs>
</ds:datastoreItem>
</file>

<file path=customXml/itemProps2.xml><?xml version="1.0" encoding="utf-8"?>
<ds:datastoreItem xmlns:ds="http://schemas.openxmlformats.org/officeDocument/2006/customXml" ds:itemID="{62B06604-063C-4275-B206-90EB8DE91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a4576-7320-4e02-8367-50eaa8d6c81a"/>
    <ds:schemaRef ds:uri="d7564538-9a43-467c-9305-959c3453ee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313A7F4-CADA-42E8-8DE8-6A793C1A13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Enquiry Form</vt:lpstr>
      <vt:lpstr>Product Code</vt:lpstr>
      <vt:lpstr>Blind Sizes</vt:lpstr>
      <vt:lpstr>'Enquiry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edfit</dc:creator>
  <cp:keywords/>
  <dc:description/>
  <cp:lastModifiedBy>Charlie Townsend</cp:lastModifiedBy>
  <cp:revision/>
  <dcterms:created xsi:type="dcterms:W3CDTF">2020-10-14T14:05:44Z</dcterms:created>
  <dcterms:modified xsi:type="dcterms:W3CDTF">2026-06-02T15:15:03Z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0x01010022945642FD752D4CA468968F0680D551</vt:lpwstr>
  </property>
  <property fmtid="{D5CDD505-2E9C-101B-9397-08002B2CF9AE}" pid="3" name="MediaServiceImageTags">
    <vt:lpwstr/>
  </property>
</Properties>
</file>