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Design &amp; Engineering/Development/Project SOP/EF New Enquiry Forms/CT  Dev/"/>
    </mc:Choice>
  </mc:AlternateContent>
  <xr:revisionPtr revIDLastSave="5" documentId="8_{832CEC6C-072C-4B4E-8043-D2E10F37E4BA}" xr6:coauthVersionLast="47" xr6:coauthVersionMax="47" xr10:uidLastSave="{B0DFAABA-B3EE-49E5-A7BC-9F7DFF0E0789}"/>
  <workbookProtection workbookAlgorithmName="SHA-512" workbookHashValue="rOTqQutE3JFmP9mt7hQcsJR73hjnjR1PyiC6rFAPxPA7Qn/VWxWTpa9E8/RKXjXctHftCI/D1rMthqUzUty3wQ==" workbookSaltValue="n4I5fcpmtUtLCnPZNt1v5g==" workbookSpinCount="100000" lockStructure="1"/>
  <bookViews>
    <workbookView xWindow="28680" yWindow="-120" windowWidth="29040" windowHeight="15720" xr2:uid="{690BAD02-9C9C-4C99-AB21-B21A22852FC5}"/>
  </bookViews>
  <sheets>
    <sheet name="Order Form" sheetId="1" r:id="rId1"/>
    <sheet name="Fabric Collection " sheetId="2" r:id="rId2"/>
    <sheet name="Product Code" sheetId="3" state="hidden" r:id="rId3"/>
    <sheet name="Shapes" sheetId="5" state="hidden" r:id="rId4"/>
  </sheets>
  <externalReferences>
    <externalReference r:id="rId5"/>
  </externalReferences>
  <definedNames>
    <definedName name="_xlnm._FilterDatabase" localSheetId="1" hidden="1">'Fabric Collection '!$C$3:$G$3</definedName>
    <definedName name="_xlnm._FilterDatabase" localSheetId="2" hidden="1">'Product Code'!$AH$4:$AI$4</definedName>
    <definedName name="Angle">'[1]Cutting List'!$C$8</definedName>
    <definedName name="BentHR">'[1]Cutting List'!#REF!</definedName>
    <definedName name="BlindDrop">'[1]Cutting List'!$B$8</definedName>
    <definedName name="BlindWidth">'[1]Cutting List'!$B$7</definedName>
    <definedName name="ConnectRail">'[1]Cutting List'!$B$13</definedName>
    <definedName name="Cording">'[1]Cutting List'!$C$21</definedName>
    <definedName name="FabricJoin">'[1]Cutting List'!$C$13</definedName>
    <definedName name="NonParallel">'[1]Cutting List'!#REF!</definedName>
    <definedName name="_xlnm.Print_Area" localSheetId="0">'Order Form'!$A$1:$W$33</definedName>
    <definedName name="Shape">'[1]Cutting List'!$B$5</definedName>
    <definedName name="Unipleat">'[1]Cutting List'!$C$10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C134" i="1" l="1"/>
  <c r="C135" i="1" s="1"/>
  <c r="C122" i="1"/>
  <c r="C123" i="1" s="1"/>
  <c r="C110" i="1"/>
  <c r="C111" i="1" s="1"/>
  <c r="C98" i="1"/>
  <c r="C99" i="1" s="1"/>
  <c r="C86" i="1"/>
  <c r="C87" i="1" s="1"/>
  <c r="C74" i="1"/>
  <c r="C75" i="1" s="1"/>
  <c r="C62" i="1"/>
  <c r="C63" i="1" s="1"/>
  <c r="C50" i="1"/>
  <c r="C51" i="1" s="1"/>
  <c r="C38" i="1"/>
  <c r="C39" i="1" s="1"/>
  <c r="C26" i="1" l="1"/>
  <c r="C27" i="1" s="1"/>
  <c r="O35" i="5" l="1"/>
  <c r="M35" i="5"/>
  <c r="I35" i="5"/>
  <c r="H35" i="5"/>
  <c r="G35" i="5"/>
  <c r="O34" i="5"/>
  <c r="M34" i="5"/>
  <c r="J34" i="5"/>
  <c r="I34" i="5"/>
  <c r="H34" i="5"/>
  <c r="G34" i="5"/>
  <c r="P34" i="5" s="1"/>
  <c r="O33" i="5"/>
  <c r="M33" i="5"/>
  <c r="J33" i="5"/>
  <c r="I33" i="5"/>
  <c r="H33" i="5"/>
  <c r="G33" i="5"/>
  <c r="O32" i="5"/>
  <c r="M32" i="5"/>
  <c r="J32" i="5"/>
  <c r="I32" i="5"/>
  <c r="H32" i="5"/>
  <c r="G32" i="5"/>
  <c r="O31" i="5"/>
  <c r="M31" i="5"/>
  <c r="J31" i="5"/>
  <c r="I31" i="5"/>
  <c r="H31" i="5"/>
  <c r="G31" i="5"/>
  <c r="O30" i="5"/>
  <c r="M30" i="5"/>
  <c r="J30" i="5"/>
  <c r="I30" i="5"/>
  <c r="H30" i="5"/>
  <c r="G30" i="5"/>
  <c r="O29" i="5"/>
  <c r="M29" i="5"/>
  <c r="K29" i="5"/>
  <c r="J29" i="5"/>
  <c r="I29" i="5"/>
  <c r="H29" i="5"/>
  <c r="G29" i="5"/>
  <c r="O28" i="5"/>
  <c r="M28" i="5"/>
  <c r="K28" i="5"/>
  <c r="J28" i="5"/>
  <c r="I28" i="5"/>
  <c r="H28" i="5"/>
  <c r="G28" i="5"/>
  <c r="O27" i="5"/>
  <c r="M27" i="5"/>
  <c r="K27" i="5"/>
  <c r="J27" i="5"/>
  <c r="I27" i="5"/>
  <c r="H27" i="5"/>
  <c r="G27" i="5"/>
  <c r="O26" i="5"/>
  <c r="M26" i="5"/>
  <c r="K26" i="5"/>
  <c r="J26" i="5"/>
  <c r="I26" i="5"/>
  <c r="H26" i="5"/>
  <c r="G26" i="5"/>
  <c r="P26" i="5" s="1"/>
  <c r="O25" i="5"/>
  <c r="M25" i="5"/>
  <c r="K25" i="5"/>
  <c r="J25" i="5"/>
  <c r="I25" i="5"/>
  <c r="H25" i="5"/>
  <c r="G25" i="5"/>
  <c r="O24" i="5"/>
  <c r="M24" i="5"/>
  <c r="K24" i="5"/>
  <c r="J24" i="5"/>
  <c r="I24" i="5"/>
  <c r="H24" i="5"/>
  <c r="G24" i="5"/>
  <c r="O23" i="5"/>
  <c r="M23" i="5"/>
  <c r="K23" i="5"/>
  <c r="J23" i="5"/>
  <c r="I23" i="5"/>
  <c r="H23" i="5"/>
  <c r="G23" i="5"/>
  <c r="O22" i="5"/>
  <c r="M22" i="5"/>
  <c r="K22" i="5"/>
  <c r="J22" i="5"/>
  <c r="I22" i="5"/>
  <c r="H22" i="5"/>
  <c r="G22" i="5"/>
  <c r="P22" i="5" s="1"/>
  <c r="O21" i="5"/>
  <c r="M21" i="5"/>
  <c r="K21" i="5"/>
  <c r="J21" i="5"/>
  <c r="I21" i="5"/>
  <c r="H21" i="5"/>
  <c r="G21" i="5"/>
  <c r="O20" i="5"/>
  <c r="M20" i="5"/>
  <c r="K20" i="5"/>
  <c r="J20" i="5"/>
  <c r="I20" i="5"/>
  <c r="H20" i="5"/>
  <c r="G20" i="5"/>
  <c r="P20" i="5" s="1"/>
  <c r="O19" i="5"/>
  <c r="M19" i="5"/>
  <c r="K19" i="5"/>
  <c r="J19" i="5"/>
  <c r="I19" i="5"/>
  <c r="H19" i="5"/>
  <c r="G19" i="5"/>
  <c r="O18" i="5"/>
  <c r="N18" i="5"/>
  <c r="M18" i="5"/>
  <c r="K18" i="5"/>
  <c r="J18" i="5"/>
  <c r="I18" i="5"/>
  <c r="H18" i="5"/>
  <c r="G18" i="5"/>
  <c r="P18" i="5" s="1"/>
  <c r="O17" i="5"/>
  <c r="N17" i="5"/>
  <c r="M17" i="5"/>
  <c r="K17" i="5"/>
  <c r="J17" i="5"/>
  <c r="I17" i="5"/>
  <c r="H17" i="5"/>
  <c r="G17" i="5"/>
  <c r="O16" i="5"/>
  <c r="M16" i="5"/>
  <c r="K16" i="5"/>
  <c r="J16" i="5"/>
  <c r="I16" i="5"/>
  <c r="H16" i="5"/>
  <c r="G16" i="5"/>
  <c r="P16" i="5" s="1"/>
  <c r="O15" i="5"/>
  <c r="M15" i="5"/>
  <c r="K15" i="5"/>
  <c r="J15" i="5"/>
  <c r="I15" i="5"/>
  <c r="H15" i="5"/>
  <c r="G15" i="5"/>
  <c r="O14" i="5"/>
  <c r="M14" i="5"/>
  <c r="K14" i="5"/>
  <c r="J14" i="5"/>
  <c r="I14" i="5"/>
  <c r="H14" i="5"/>
  <c r="G14" i="5"/>
  <c r="O13" i="5"/>
  <c r="M13" i="5"/>
  <c r="K13" i="5"/>
  <c r="J13" i="5"/>
  <c r="I13" i="5"/>
  <c r="H13" i="5"/>
  <c r="G13" i="5"/>
  <c r="O12" i="5"/>
  <c r="M12" i="5"/>
  <c r="K12" i="5"/>
  <c r="J12" i="5"/>
  <c r="I12" i="5"/>
  <c r="H12" i="5"/>
  <c r="G12" i="5"/>
  <c r="O11" i="5"/>
  <c r="M11" i="5"/>
  <c r="K11" i="5"/>
  <c r="J11" i="5"/>
  <c r="I11" i="5"/>
  <c r="H11" i="5"/>
  <c r="G11" i="5"/>
  <c r="O10" i="5"/>
  <c r="M10" i="5"/>
  <c r="K10" i="5"/>
  <c r="J10" i="5"/>
  <c r="I10" i="5"/>
  <c r="H10" i="5"/>
  <c r="G10" i="5"/>
  <c r="O9" i="5"/>
  <c r="M9" i="5"/>
  <c r="K9" i="5"/>
  <c r="J9" i="5"/>
  <c r="I9" i="5"/>
  <c r="H9" i="5"/>
  <c r="G9" i="5"/>
  <c r="O8" i="5"/>
  <c r="M8" i="5"/>
  <c r="K8" i="5"/>
  <c r="J8" i="5"/>
  <c r="I8" i="5"/>
  <c r="H8" i="5"/>
  <c r="G8" i="5"/>
  <c r="P8" i="5" s="1"/>
  <c r="O7" i="5"/>
  <c r="M7" i="5"/>
  <c r="K7" i="5"/>
  <c r="J7" i="5"/>
  <c r="I7" i="5"/>
  <c r="H7" i="5"/>
  <c r="G7" i="5"/>
  <c r="O6" i="5"/>
  <c r="M6" i="5"/>
  <c r="K6" i="5"/>
  <c r="J6" i="5"/>
  <c r="I6" i="5"/>
  <c r="H6" i="5"/>
  <c r="G6" i="5"/>
  <c r="O5" i="5"/>
  <c r="M5" i="5"/>
  <c r="K5" i="5"/>
  <c r="J5" i="5"/>
  <c r="I5" i="5"/>
  <c r="H5" i="5"/>
  <c r="G5" i="5"/>
  <c r="O4" i="5"/>
  <c r="M4" i="5"/>
  <c r="K4" i="5"/>
  <c r="I4" i="5"/>
  <c r="H4" i="5"/>
  <c r="G4" i="5"/>
  <c r="P4" i="5" s="1"/>
  <c r="O1" i="5"/>
  <c r="N1" i="5"/>
  <c r="M1" i="5"/>
  <c r="L1" i="5"/>
  <c r="K1" i="5"/>
  <c r="J1" i="5"/>
  <c r="I1" i="5"/>
  <c r="H1" i="5"/>
  <c r="G1" i="5"/>
  <c r="E1" i="5"/>
  <c r="P6" i="5" l="1"/>
  <c r="P24" i="5"/>
  <c r="P32" i="5"/>
  <c r="P14" i="5"/>
  <c r="P35" i="5"/>
  <c r="P11" i="5"/>
  <c r="P27" i="5"/>
  <c r="P25" i="5"/>
  <c r="P7" i="5"/>
  <c r="P12" i="5"/>
  <c r="P23" i="5"/>
  <c r="P30" i="5"/>
  <c r="P29" i="5"/>
  <c r="P19" i="5"/>
  <c r="P17" i="5"/>
  <c r="P33" i="5"/>
  <c r="P15" i="5"/>
  <c r="P31" i="5"/>
  <c r="P13" i="5"/>
  <c r="P9" i="5"/>
  <c r="P5" i="5"/>
  <c r="P10" i="5"/>
  <c r="P21" i="5"/>
  <c r="P28" i="5"/>
  <c r="AH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6" i="1"/>
  <c r="B4" i="2"/>
  <c r="B20" i="2" l="1"/>
  <c r="B21" i="2"/>
  <c r="B22" i="2"/>
  <c r="B23" i="2"/>
  <c r="B19" i="2" l="1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A7" i="1"/>
  <c r="AA7" i="1" s="1"/>
  <c r="A8" i="1" l="1"/>
  <c r="AA8" i="1" s="1"/>
  <c r="A9" i="1" l="1"/>
  <c r="AA9" i="1" s="1"/>
  <c r="A10" i="1" l="1"/>
  <c r="AA10" i="1" s="1"/>
  <c r="A11" i="1" l="1"/>
  <c r="AA11" i="1" s="1"/>
  <c r="A12" i="1" l="1"/>
  <c r="AA12" i="1" s="1"/>
  <c r="A13" i="1" l="1"/>
  <c r="AA13" i="1" s="1"/>
  <c r="A14" i="1" l="1"/>
  <c r="AA14" i="1" s="1"/>
  <c r="A15" i="1" l="1"/>
  <c r="AA15" i="1" s="1"/>
  <c r="A16" i="1" l="1"/>
  <c r="AA16" i="1" s="1"/>
  <c r="A17" i="1" l="1"/>
  <c r="AA17" i="1" s="1"/>
  <c r="A18" i="1" l="1"/>
  <c r="AA18" i="1" s="1"/>
  <c r="A19" i="1" l="1"/>
  <c r="AA19" i="1" s="1"/>
  <c r="A20" i="1" l="1"/>
  <c r="AA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</futureMetadata>
  <valueMetadata count="6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</valueMetadata>
</metadata>
</file>

<file path=xl/sharedStrings.xml><?xml version="1.0" encoding="utf-8"?>
<sst xmlns="http://schemas.openxmlformats.org/spreadsheetml/2006/main" count="597" uniqueCount="321">
  <si>
    <t>Formatted cells</t>
  </si>
  <si>
    <t>Enquiry Form</t>
  </si>
  <si>
    <t xml:space="preserve">Item </t>
  </si>
  <si>
    <t>Enter 
Shaping Factor</t>
  </si>
  <si>
    <t>Notes</t>
  </si>
  <si>
    <t>Date</t>
  </si>
  <si>
    <t>Customer Name</t>
  </si>
  <si>
    <t>Customer Email</t>
  </si>
  <si>
    <t>Customer Tel. Number</t>
  </si>
  <si>
    <t>Customer Address</t>
  </si>
  <si>
    <t>Fabirc Code</t>
  </si>
  <si>
    <t>Fabirc Name</t>
  </si>
  <si>
    <t xml:space="preserve">Colour </t>
  </si>
  <si>
    <t xml:space="preserve">Light Transmission </t>
  </si>
  <si>
    <t>Type</t>
  </si>
  <si>
    <t>Duette Classic</t>
  </si>
  <si>
    <t>White</t>
  </si>
  <si>
    <t>Sheer</t>
  </si>
  <si>
    <t>Honeycomb</t>
  </si>
  <si>
    <t>Cream</t>
  </si>
  <si>
    <t xml:space="preserve">Light Grey </t>
  </si>
  <si>
    <t>Off White</t>
  </si>
  <si>
    <t>Plisse</t>
  </si>
  <si>
    <t>Lumina</t>
  </si>
  <si>
    <t>Privacy</t>
  </si>
  <si>
    <t xml:space="preserve">Grey </t>
  </si>
  <si>
    <t>Grey</t>
  </si>
  <si>
    <t>Blackout</t>
  </si>
  <si>
    <t xml:space="preserve">Blackout </t>
  </si>
  <si>
    <t>Light Grey</t>
  </si>
  <si>
    <t>Duette Fixe Unix Dark</t>
  </si>
  <si>
    <t>Black</t>
  </si>
  <si>
    <t>Oscura Luna</t>
  </si>
  <si>
    <t>Recess size - remove 10 mm off the width</t>
  </si>
  <si>
    <t>Dimension Type</t>
  </si>
  <si>
    <t>Hardware Colour</t>
  </si>
  <si>
    <t>Code</t>
  </si>
  <si>
    <t>Stack Position</t>
  </si>
  <si>
    <t>Fixing Type</t>
  </si>
  <si>
    <t>Hold Down</t>
  </si>
  <si>
    <t>Blind</t>
  </si>
  <si>
    <t>P</t>
  </si>
  <si>
    <t>Anthracite</t>
  </si>
  <si>
    <t>Bottom</t>
  </si>
  <si>
    <t>Ceiling</t>
  </si>
  <si>
    <t>Top</t>
  </si>
  <si>
    <t>Wall</t>
  </si>
  <si>
    <t>Ivory</t>
  </si>
  <si>
    <t>Top Down/Bottom Up</t>
  </si>
  <si>
    <t>Quick Tensioner</t>
  </si>
  <si>
    <t>Yes</t>
  </si>
  <si>
    <t>No</t>
  </si>
  <si>
    <t xml:space="preserve">Motor Option </t>
  </si>
  <si>
    <t xml:space="preserve">24v - Momentary </t>
  </si>
  <si>
    <t xml:space="preserve">Fabric Loop </t>
  </si>
  <si>
    <t>No Handle</t>
  </si>
  <si>
    <t>Chrome Metal</t>
  </si>
  <si>
    <t xml:space="preserve">Motor Location </t>
  </si>
  <si>
    <t xml:space="preserve">Top </t>
  </si>
  <si>
    <t>Wire Exit</t>
  </si>
  <si>
    <t xml:space="preserve">Left </t>
  </si>
  <si>
    <t>Centre</t>
  </si>
  <si>
    <t xml:space="preserve">Right </t>
  </si>
  <si>
    <t>Blind Type</t>
  </si>
  <si>
    <t xml:space="preserve">Handle Option </t>
  </si>
  <si>
    <t>TBC</t>
  </si>
  <si>
    <t>Price</t>
  </si>
  <si>
    <t/>
  </si>
  <si>
    <t>Fixed Metal Black</t>
  </si>
  <si>
    <t>Matrix</t>
  </si>
  <si>
    <t>Install Angle</t>
  </si>
  <si>
    <t>Shape Factor</t>
  </si>
  <si>
    <t>Powered</t>
  </si>
  <si>
    <t>Total</t>
  </si>
  <si>
    <t>Manual</t>
  </si>
  <si>
    <t>Seaview Product Code - Powered</t>
  </si>
  <si>
    <t>AO-DBE (0-20°)</t>
  </si>
  <si>
    <t>AO (0°)</t>
  </si>
  <si>
    <t>DBE (20 - 45°)</t>
  </si>
  <si>
    <t>BB (0 - 30°)</t>
  </si>
  <si>
    <t>DB (31 - 60°)</t>
  </si>
  <si>
    <t>PB (61 -120°)</t>
  </si>
  <si>
    <t>Twilight</t>
  </si>
  <si>
    <t xml:space="preserve">24v - Constant </t>
  </si>
  <si>
    <t>Chintz Topar Plus</t>
  </si>
  <si>
    <t>Horizon</t>
  </si>
  <si>
    <t>Duette Classic Dark</t>
  </si>
  <si>
    <t>Comfort Dustblock</t>
  </si>
  <si>
    <t>-AO</t>
  </si>
  <si>
    <t>-AO-DBE</t>
  </si>
  <si>
    <t>-BB</t>
  </si>
  <si>
    <t>-DB</t>
  </si>
  <si>
    <t>-DBE</t>
  </si>
  <si>
    <t>-PB</t>
  </si>
  <si>
    <t>-B</t>
  </si>
  <si>
    <t>-T</t>
  </si>
  <si>
    <t>-TB</t>
  </si>
  <si>
    <t>-C</t>
  </si>
  <si>
    <t>-W</t>
  </si>
  <si>
    <t>-P24C</t>
  </si>
  <si>
    <t>-P24M</t>
  </si>
  <si>
    <t>-ACH</t>
  </si>
  <si>
    <t>-CFH</t>
  </si>
  <si>
    <t>-FAB</t>
  </si>
  <si>
    <t>-FMB</t>
  </si>
  <si>
    <t>-NOH</t>
  </si>
  <si>
    <t>-CL</t>
  </si>
  <si>
    <t>-CC</t>
  </si>
  <si>
    <t>-CR</t>
  </si>
  <si>
    <t>CORD</t>
  </si>
  <si>
    <t>AO-DB (0-20°)</t>
  </si>
  <si>
    <t>-AO-DB</t>
  </si>
  <si>
    <t>Recess dimensions will have 10 mm deducted from the width.</t>
  </si>
  <si>
    <r>
      <t xml:space="preserve">Dimension Type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</si>
  <si>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Width (X) mm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</si>
  <si>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Drop (Y) 
mm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</si>
  <si>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Hardware Colour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</si>
  <si>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Fabric Code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</si>
  <si>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Stack Position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</si>
  <si>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Hold Down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</si>
  <si>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Quick Tensioner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</si>
  <si>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Operation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</si>
  <si>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Motor Location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</si>
  <si>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Wire Exit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</si>
  <si>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Pull Cord 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</si>
  <si>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</si>
  <si>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</si>
  <si>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Blind Location (Optional)
</t>
    </r>
    <r>
      <rPr>
        <b/>
        <sz val="9"/>
        <color theme="0" tint="-0.499984740745262"/>
        <rFont val="Century Gothic"/>
        <family val="2"/>
      </rPr>
      <t>(Enter)</t>
    </r>
  </si>
  <si>
    <t>Crepe</t>
  </si>
  <si>
    <t>Cord Cleat</t>
  </si>
  <si>
    <r>
      <t xml:space="preserve">Cord Cleat Colour 
</t>
    </r>
    <r>
      <rPr>
        <b/>
        <sz val="9"/>
        <color theme="0" tint="-0.499984740745262"/>
        <rFont val="Century Gothic"/>
        <family val="2"/>
      </rPr>
      <t>(Select)</t>
    </r>
  </si>
  <si>
    <t>RTS</t>
  </si>
  <si>
    <t>24v - RTS Internal</t>
  </si>
  <si>
    <t>24v - RTS External</t>
  </si>
  <si>
    <t>-P24RTSE</t>
  </si>
  <si>
    <t>-P24RTSI</t>
  </si>
  <si>
    <t>* Internal Receiver might not always be available depending on the size of the blind. Suitabilitty will be confirmed when drawings are issued.</t>
  </si>
  <si>
    <t>Plastic Articulating</t>
  </si>
  <si>
    <t>Rail 04</t>
  </si>
  <si>
    <t>Rail 06</t>
  </si>
  <si>
    <t>Chrome 07</t>
  </si>
  <si>
    <t>Footplate 10</t>
  </si>
  <si>
    <t>Footplate 11</t>
  </si>
  <si>
    <t>-RA4</t>
  </si>
  <si>
    <t>-RA6</t>
  </si>
  <si>
    <t>-CH7</t>
  </si>
  <si>
    <t>-FP10</t>
  </si>
  <si>
    <t>-FP11</t>
  </si>
  <si>
    <r>
      <t xml:space="preserve">Chrome Extenders
</t>
    </r>
    <r>
      <rPr>
        <b/>
        <sz val="9"/>
        <color theme="0" tint="-0.499984740745262"/>
        <rFont val="Century Gothic"/>
        <family val="2"/>
      </rPr>
      <t>(Select)</t>
    </r>
  </si>
  <si>
    <t>Chrome Extender</t>
  </si>
  <si>
    <t>See Fig Below</t>
  </si>
  <si>
    <t>Recess dimensions will have 10mm deducted from the width</t>
  </si>
  <si>
    <t>Line 1</t>
  </si>
  <si>
    <t>mm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</si>
  <si>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</si>
  <si>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</si>
  <si>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</si>
  <si>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</si>
  <si>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</si>
  <si>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</si>
  <si>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</si>
  <si>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</si>
  <si>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</si>
  <si>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0</t>
  </si>
  <si>
    <t>Rectangle</t>
  </si>
  <si>
    <t>Option</t>
  </si>
  <si>
    <t>N/A</t>
  </si>
  <si>
    <t>img_shape0</t>
  </si>
  <si>
    <t>1R</t>
  </si>
  <si>
    <t>Shape 1R</t>
  </si>
  <si>
    <t>img_shape1R</t>
  </si>
  <si>
    <t>1L</t>
  </si>
  <si>
    <t>Shape 1L</t>
  </si>
  <si>
    <t>img_shape1L</t>
  </si>
  <si>
    <t>2R</t>
  </si>
  <si>
    <t>Shape 2R</t>
  </si>
  <si>
    <t>img_shape2R</t>
  </si>
  <si>
    <t>2L</t>
  </si>
  <si>
    <t>Shape 2L</t>
  </si>
  <si>
    <t>img_shape2L</t>
  </si>
  <si>
    <t>3R</t>
  </si>
  <si>
    <t>Shape 3R</t>
  </si>
  <si>
    <t>3BarOnly</t>
  </si>
  <si>
    <t>img_shape3R</t>
  </si>
  <si>
    <t>3L</t>
  </si>
  <si>
    <t>Shape 3L</t>
  </si>
  <si>
    <t>img_shape3L</t>
  </si>
  <si>
    <t>4R</t>
  </si>
  <si>
    <t>Shape 4R</t>
  </si>
  <si>
    <t>img_shape4R</t>
  </si>
  <si>
    <t>4L</t>
  </si>
  <si>
    <t>Shape 4L</t>
  </si>
  <si>
    <t>img_shape4L</t>
  </si>
  <si>
    <t>5R</t>
  </si>
  <si>
    <t>Shape 5R</t>
  </si>
  <si>
    <t>img_shape5R</t>
  </si>
  <si>
    <t>5L</t>
  </si>
  <si>
    <t>Shape 5L</t>
  </si>
  <si>
    <t>img_shape5L</t>
  </si>
  <si>
    <t>6R</t>
  </si>
  <si>
    <t>Shape 6R</t>
  </si>
  <si>
    <t>img_shape6R</t>
  </si>
  <si>
    <t>6L</t>
  </si>
  <si>
    <t>Shape 6L</t>
  </si>
  <si>
    <t>img_shape6L</t>
  </si>
  <si>
    <t>7R</t>
  </si>
  <si>
    <t>Shape 7R</t>
  </si>
  <si>
    <t>img_shape7R</t>
  </si>
  <si>
    <t>7L</t>
  </si>
  <si>
    <t>Shape 7L</t>
  </si>
  <si>
    <t>img_shape7L</t>
  </si>
  <si>
    <t>8R</t>
  </si>
  <si>
    <t>Shape 8R</t>
  </si>
  <si>
    <t>img_shape8R</t>
  </si>
  <si>
    <t>8L</t>
  </si>
  <si>
    <t>Shape 8L</t>
  </si>
  <si>
    <t>img_shape8L</t>
  </si>
  <si>
    <t>9R</t>
  </si>
  <si>
    <t>Shape 9R</t>
  </si>
  <si>
    <t>TopOnly</t>
  </si>
  <si>
    <t>img_shape9R</t>
  </si>
  <si>
    <t>9L</t>
  </si>
  <si>
    <t>Shape 9L</t>
  </si>
  <si>
    <t>img_shape9L</t>
  </si>
  <si>
    <t>10R</t>
  </si>
  <si>
    <t>Shape 10R</t>
  </si>
  <si>
    <t>img_shape10R</t>
  </si>
  <si>
    <t>10L</t>
  </si>
  <si>
    <t>Shape 10L</t>
  </si>
  <si>
    <t>img_shape10L</t>
  </si>
  <si>
    <t>Shape 11</t>
  </si>
  <si>
    <t>img_shape11</t>
  </si>
  <si>
    <t>12R</t>
  </si>
  <si>
    <t>Shape 12R</t>
  </si>
  <si>
    <t>img_shape12R</t>
  </si>
  <si>
    <t>12L</t>
  </si>
  <si>
    <t>Shape 12L</t>
  </si>
  <si>
    <t>img_shape12L</t>
  </si>
  <si>
    <t>13R</t>
  </si>
  <si>
    <t>Shape 13R</t>
  </si>
  <si>
    <t>img_shape13R</t>
  </si>
  <si>
    <t>13L</t>
  </si>
  <si>
    <t>Shape 13L</t>
  </si>
  <si>
    <t>img_shape13L</t>
  </si>
  <si>
    <t>14R</t>
  </si>
  <si>
    <t>Shape 14R</t>
  </si>
  <si>
    <t>img_shape14R</t>
  </si>
  <si>
    <t>14L</t>
  </si>
  <si>
    <t>Shape 14L</t>
  </si>
  <si>
    <t>img_shape14L</t>
  </si>
  <si>
    <t>Shape 15</t>
  </si>
  <si>
    <t>BottomOnly</t>
  </si>
  <si>
    <t>img_shape15</t>
  </si>
  <si>
    <t>16R</t>
  </si>
  <si>
    <t>Shape 16R</t>
  </si>
  <si>
    <t>img_shape16R</t>
  </si>
  <si>
    <t>16L</t>
  </si>
  <si>
    <t>Shape 16L</t>
  </si>
  <si>
    <t>img_shape16L</t>
  </si>
  <si>
    <t>DN</t>
  </si>
  <si>
    <t>DayNight</t>
  </si>
  <si>
    <t>ShapeNo</t>
  </si>
  <si>
    <t>ShapeName</t>
  </si>
  <si>
    <t>HoneyCombStack</t>
  </si>
  <si>
    <t>3Bar</t>
  </si>
  <si>
    <t>ShapeSet</t>
  </si>
  <si>
    <t>CFBase</t>
  </si>
  <si>
    <t>CFAngle 30-90</t>
  </si>
  <si>
    <t>CFCording</t>
  </si>
  <si>
    <t>WFWidthGT2500</t>
  </si>
  <si>
    <t>CFDrop GT1400</t>
  </si>
  <si>
    <t>CFNonParallel</t>
  </si>
  <si>
    <t>CFBentHeadRail</t>
  </si>
  <si>
    <t>CFFabricJoin</t>
  </si>
  <si>
    <t>CFConnectRail</t>
  </si>
  <si>
    <t>CFUnipleat</t>
  </si>
  <si>
    <t>CFTotal</t>
  </si>
  <si>
    <t>ImageCellName</t>
  </si>
  <si>
    <t>ShapeImage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</si>
  <si>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</si>
  <si>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</si>
  <si>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</si>
  <si>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</si>
  <si>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</si>
  <si>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</si>
  <si>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</si>
  <si>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</si>
  <si>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</si>
  <si>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Shape</t>
  </si>
  <si>
    <t>Shape 1</t>
  </si>
  <si>
    <t>Shape 2</t>
  </si>
  <si>
    <t>Shape 3</t>
  </si>
  <si>
    <t>Shape 4</t>
  </si>
  <si>
    <t>Shape 5</t>
  </si>
  <si>
    <t>Shape 6</t>
  </si>
  <si>
    <t>Shape 7</t>
  </si>
  <si>
    <t>Shape 8</t>
  </si>
  <si>
    <t>Shape 9</t>
  </si>
  <si>
    <t>Shape 10</t>
  </si>
  <si>
    <t>Shape 12</t>
  </si>
  <si>
    <t>Shape 13</t>
  </si>
  <si>
    <t>Shape 14</t>
  </si>
  <si>
    <t>Shape 16</t>
  </si>
  <si>
    <t>Orientaion</t>
  </si>
  <si>
    <t>Left</t>
  </si>
  <si>
    <t>Right</t>
  </si>
  <si>
    <t>ShapeDiagram</t>
  </si>
  <si>
    <t>FILL OUT BOXES BELOW</t>
  </si>
  <si>
    <t>IVY</t>
  </si>
  <si>
    <t>BLK</t>
  </si>
  <si>
    <t>ANT</t>
  </si>
  <si>
    <t>WHT</t>
  </si>
  <si>
    <t>SEAPLEAT Shaped Enquiry Form</t>
  </si>
  <si>
    <r>
      <t xml:space="preserve">Angle (degrees)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</si>
  <si>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Blind Type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</si>
  <si>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Shape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</si>
  <si>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Orientation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</si>
  <si>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Motor Option
</t>
    </r>
    <r>
      <rPr>
        <b/>
        <sz val="9"/>
        <color theme="0" tint="-0.499984740745262"/>
        <rFont val="Century Gothic"/>
        <family val="2"/>
      </rPr>
      <t>(Select)</t>
    </r>
  </si>
  <si>
    <t>Recess</t>
  </si>
  <si>
    <t>Price Group</t>
  </si>
  <si>
    <t>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</si>
</sst>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8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b/>
      <sz val="8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9" fillId="0" borderId="2" xfId="0" applyFont="1" applyBorder="1"/>
    <xf numFmtId="0" fontId="8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 vertical="center"/>
    </xf>
    <xf numFmtId="0" fontId="19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12" xfId="0" applyFont="1" applyBorder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6" xfId="0" applyFont="1" applyBorder="1" applyAlignment="1" applyProtection="1">
      <alignment horizontal="center" vertical="top"/>
      <protection locked="0"/>
    </xf>
    <xf numFmtId="0" fontId="13" fillId="0" borderId="8" xfId="0" applyFont="1" applyBorder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13" fillId="0" borderId="11" xfId="0" applyFont="1" applyBorder="1" applyAlignment="1" applyProtection="1">
      <alignment horizontal="center" vertical="top"/>
      <protection locked="0"/>
    </xf>
    <xf numFmtId="0" fontId="13" fillId="0" borderId="2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4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png"/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281730</xdr:colOff>
      <xdr:row>1</xdr:row>
      <xdr:rowOff>85725</xdr:rowOff>
    </xdr:from>
    <xdr:ext cx="1843149" cy="699411"/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15087813" y="255058"/>
          <a:ext cx="1843149" cy="699411"/>
        </a:xfrm>
        <a:prstGeom prst="rect">
          <a:avLst/>
        </a:prstGeom>
      </xdr:spPr>
    </xdr:pic>
    <xdr:clientData/>
  </xdr:oneCellAnchor>
  <xdr:twoCellAnchor editAs="oneCell">
    <xdr:from>
      <xdr:col>10</xdr:col>
      <xdr:colOff>530486</xdr:colOff>
      <xdr:row>23</xdr:row>
      <xdr:rowOff>11206</xdr:rowOff>
    </xdr:from>
    <xdr:to>
      <xdr:col>20</xdr:col>
      <xdr:colOff>1449733</xdr:colOff>
      <xdr:row>51</xdr:row>
      <xdr:rowOff>141444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9E31A-E77A-B846-FCA9-9B934CF9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2074" y="5838265"/>
          <a:ext cx="8079806" cy="5477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nufacturing/2.Cutting%20Lists/In%20Progress%20CL/SEAPLEAT%20Rectangle%20Cutting%20List%20-%20Rev%2002.xlsm" TargetMode="External"/><Relationship Id="rId2" Type="http://schemas.openxmlformats.org/officeDocument/2006/relationships/externalLinkPath" Target="https://fbfproperties.sharepoint.com/Shared%20Documents/Seaview%20Blinds/Manufacturing/2.Cutting%20Lists/In%20Progress%20CL/SEAPLEAT%20Rectangle%20Cutting%20List%20-%20Rev%2002.xlsm" TargetMode="External"/><Relationship Id="rId1" Type="http://schemas.openxmlformats.org/officeDocument/2006/relationships/externalLinkPath" Target="/Shared%20Documents/Seaview%20Blinds/Manufacturing/2.Cutting%20Lists/In%20Progress%20CL/SEAPLEAT%20Rectangle%20Cutting%20List%20-%20Rev%20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utting List"/>
      <sheetName val="Bill of Materials"/>
      <sheetName val="Cording"/>
      <sheetName val="Product Code"/>
      <sheetName val="Pleat Count"/>
      <sheetName val="Fabric List"/>
      <sheetName val="Shapes"/>
      <sheetName val="SAGE"/>
      <sheetName val="Revisions"/>
    </sheetNames>
    <sheetDataSet>
      <sheetData sheetId="0"/>
      <sheetData sheetId="1">
        <row r="5">
          <cell r="B5" t="str">
            <v>Rectangle</v>
          </cell>
        </row>
        <row r="7">
          <cell r="B7">
            <v>1800</v>
          </cell>
        </row>
        <row r="8">
          <cell r="B8">
            <v>1000</v>
          </cell>
          <cell r="C8">
            <v>15</v>
          </cell>
        </row>
        <row r="10">
          <cell r="C10"/>
        </row>
        <row r="13">
          <cell r="B13" t="str">
            <v>No</v>
          </cell>
          <cell r="C13"/>
        </row>
        <row r="21">
          <cell r="C21" t="str">
            <v>Edge to Edge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FB3C2-D72C-4712-A321-5F820062C242}" name="TableShapes" displayName="TableShapes" ref="A3:S35" totalsRowShown="0" headerRowDxfId="53" dataDxfId="52">
  <autoFilter ref="A3:S35" xr:uid="{0088E3F5-0860-4AC0-9055-E3ED40102070}"/>
  <tableColumns count="19">
    <tableColumn id="1" xr3:uid="{EA248FAE-FAE6-442B-9E01-D558A1FAFFC8}" name="ShapeNo" dataDxfId="51"/>
    <tableColumn id="2" xr3:uid="{AEAA4EDE-D7EA-4BD4-ABBB-43DFED29320E}" name="ShapeName" dataDxfId="50"/>
    <tableColumn id="3" xr3:uid="{768059AD-B439-4909-8FC3-BC7DD236F3AF}" name="HoneyCombStack" dataDxfId="49"/>
    <tableColumn id="4" xr3:uid="{D564C4CD-ED14-4A89-A826-19FABF2E5E94}" name="3Bar" dataDxfId="48"/>
    <tableColumn id="5" xr3:uid="{29911F27-6DD5-461A-AD3F-A0D564AE346B}" name="ShapeSet" dataDxfId="47"/>
    <tableColumn id="6" xr3:uid="{A45A03F0-0111-44C5-83EC-07E0BE5EE90B}" name="CFBase" dataDxfId="46"/>
    <tableColumn id="7" xr3:uid="{4CF60828-0C4A-46AB-9072-B65FEFB60F56}" name="CFAngle 30-90" dataDxfId="45">
      <calculatedColumnFormula>IF(Angle&gt;30,0.5,0)</calculatedColumnFormula>
    </tableColumn>
    <tableColumn id="18" xr3:uid="{62F90613-C62D-4A76-9A11-EB9CA6FA50E2}" name="CFCording" dataDxfId="44">
      <calculatedColumnFormula>IF(Cording="No",0,IF(Cording="Centre cording",0,IF(AND(Cording="Edge to Edge",BlindWidth&lt;1801),0.5,IF(AND(Cording="Edge to Edge",BlindWidth&gt;1800),1,0))))</calculatedColumnFormula>
    </tableColumn>
    <tableColumn id="8" xr3:uid="{17521A46-7FA3-4AC3-881F-E1CE943D8666}" name="WFWidthGT2500" dataDxfId="43">
      <calculatedColumnFormula>IF(BlindWidth&gt;2499,1,0)</calculatedColumnFormula>
    </tableColumn>
    <tableColumn id="9" xr3:uid="{078AEB27-1654-469D-ACF0-9D022AD0DDF4}" name="CFDrop GT1400" dataDxfId="42"/>
    <tableColumn id="10" xr3:uid="{69EB44AF-03FA-4158-9273-CE1DC62C8179}" name="CFNonParallel" dataDxfId="41"/>
    <tableColumn id="11" xr3:uid="{D4C7E66C-51FB-4409-906E-691227904869}" name="CFBentHeadRail" dataDxfId="40"/>
    <tableColumn id="12" xr3:uid="{C4E45480-261A-4E40-8D13-797AA2C853F9}" name="CFFabricJoin" dataDxfId="39">
      <calculatedColumnFormula>IF(FabricJoin="Yes",0.5,0)</calculatedColumnFormula>
    </tableColumn>
    <tableColumn id="13" xr3:uid="{2CFB0525-28F4-435D-A403-5D99C8135DF2}" name="CFConnectRail" dataDxfId="38"/>
    <tableColumn id="16" xr3:uid="{B7670566-BE47-451A-A550-89C239458AB5}" name="CFUnipleat" dataDxfId="37">
      <calculatedColumnFormula>IF(Unipleat="Yes",1.5,0)</calculatedColumnFormula>
    </tableColumn>
    <tableColumn id="14" xr3:uid="{83F4DBD7-057A-4826-97AD-FA14A6713745}" name="CFTotal" dataDxfId="36">
      <calculatedColumnFormula>SUM(TableShapes[[#This Row],[CFBase]:[CFUnipleat]])</calculatedColumnFormula>
    </tableColumn>
    <tableColumn id="17" xr3:uid="{4FB4B1BE-3389-4972-8A8A-FD35D78D4AE7}" name="ImageCellName" dataDxfId="35"/>
    <tableColumn id="15" xr3:uid="{2D409F1E-6CE8-415E-B47C-FC15619B2FE2}" name="ShapeImage" dataDxfId="34"/>
    <tableColumn id="19" xr3:uid="{B3EA9B15-747A-45E4-812A-883C91347A4D}" name="ShapeDiagram" dataDxfId="3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 codeName="Sheet1">
    <pageSetUpPr fitToPage="1"/>
  </sheetPr>
  <dimension ref="A2:AP143"/>
  <sheetViews>
    <sheetView showGridLines="0" tabSelected="1" zoomScale="85" zoomScaleNormal="85" workbookViewId="0">
      <pane ySplit="5" topLeftCell="A6" activePane="bottomLeft" state="frozen"/>
      <selection pane="bottomLeft" activeCell="H2" sqref="H2"/>
    </sheetView>
  </sheetViews>
  <sheetFormatPr defaultColWidth="8.77734375" defaultRowHeight="14.4" x14ac:dyDescent="0.3"/>
  <cols>
    <col min="1" max="1" width="5" style="9" customWidth="1"/>
    <col min="2" max="2" width="10.6640625" style="9" customWidth="1"/>
    <col min="3" max="3" width="9.5546875" style="9" customWidth="1"/>
    <col min="4" max="4" width="11.77734375" style="9" customWidth="1"/>
    <col min="5" max="5" width="9" style="9" customWidth="1"/>
    <col min="6" max="6" width="9.88671875" style="9" customWidth="1"/>
    <col min="7" max="7" width="17.6640625" style="9" customWidth="1"/>
    <col min="8" max="8" width="27.77734375" style="9" customWidth="1"/>
    <col min="9" max="10" width="15.77734375" style="9" customWidth="1"/>
    <col min="11" max="11" width="11" style="9" customWidth="1"/>
    <col min="12" max="12" width="11.33203125" style="9" bestFit="1" customWidth="1"/>
    <col min="13" max="13" width="11.33203125" style="9" customWidth="1"/>
    <col min="14" max="14" width="11.44140625" style="9" customWidth="1"/>
    <col min="15" max="15" width="13.44140625" style="9" customWidth="1"/>
    <col min="16" max="16" width="16.44140625" style="9" customWidth="1"/>
    <col min="17" max="18" width="14.77734375" style="9" customWidth="1"/>
    <col min="19" max="19" width="13.21875" style="9" hidden="1" customWidth="1"/>
    <col min="20" max="20" width="14.77734375" hidden="1" customWidth="1"/>
    <col min="21" max="21" width="21.44140625" style="9" bestFit="1" customWidth="1"/>
    <col min="22" max="22" width="10.44140625" style="9" customWidth="1"/>
    <col min="23" max="23" width="22.44140625" style="9" customWidth="1"/>
    <col min="24" max="24" width="4.44140625" style="9" customWidth="1"/>
    <col min="25" max="25" width="8.77734375" style="9" hidden="1" customWidth="1"/>
    <col min="26" max="26" width="3.77734375" style="9" customWidth="1"/>
    <col min="27" max="27" width="70.21875" style="11" hidden="1" customWidth="1"/>
    <col min="28" max="28" width="7.88671875" style="9" customWidth="1"/>
    <col min="29" max="29" width="8.77734375" style="16" hidden="1" customWidth="1"/>
    <col min="30" max="30" width="0" style="16" hidden="1" customWidth="1"/>
    <col min="31" max="31" width="12.44140625" style="16" hidden="1" customWidth="1"/>
    <col min="32" max="33" width="10.44140625" style="16" hidden="1" customWidth="1"/>
    <col min="34" max="34" width="0.109375" style="9" hidden="1" customWidth="1"/>
    <col min="35" max="16384" width="8.77734375" style="9"/>
  </cols>
  <sheetData>
    <row r="2" spans="1:34" ht="29.55" customHeight="1" thickBot="1" x14ac:dyDescent="0.35">
      <c r="N2" s="78"/>
      <c r="O2" s="78"/>
      <c r="P2" s="78"/>
      <c r="W2" s="10"/>
    </row>
    <row r="3" spans="1:34" ht="29.55" customHeight="1" thickBot="1" x14ac:dyDescent="0.45">
      <c r="A3" s="12" t="s">
        <v>312</v>
      </c>
      <c r="G3" s="13"/>
      <c r="N3" s="91"/>
      <c r="O3" s="91"/>
      <c r="P3" s="92"/>
      <c r="W3" s="10"/>
      <c r="Y3" s="10"/>
      <c r="AA3" s="10" t="s">
        <v>0</v>
      </c>
      <c r="AC3" s="16" t="s">
        <v>66</v>
      </c>
    </row>
    <row r="4" spans="1:34" ht="29.55" customHeight="1" x14ac:dyDescent="0.3">
      <c r="A4" s="14" t="s">
        <v>1</v>
      </c>
      <c r="B4" s="15"/>
      <c r="C4" s="15"/>
      <c r="D4" s="15"/>
      <c r="E4" s="88" t="s">
        <v>307</v>
      </c>
      <c r="F4" s="88"/>
      <c r="G4" s="15"/>
      <c r="H4" s="15"/>
      <c r="I4" s="15"/>
      <c r="J4" s="15"/>
      <c r="K4" s="15"/>
      <c r="L4" s="46" t="s">
        <v>150</v>
      </c>
      <c r="M4" s="15"/>
      <c r="N4" s="15"/>
      <c r="O4" s="15"/>
      <c r="P4" s="15"/>
      <c r="Q4" s="15"/>
      <c r="R4" s="15"/>
      <c r="S4" s="15"/>
      <c r="U4" s="15"/>
      <c r="V4" s="15"/>
    </row>
    <row r="5" spans="1:34" s="33" customFormat="1" ht="41.55" customHeight="1" x14ac:dyDescent="0.3">
      <c r="A5" s="36" t="s">
        <v>2</v>
      </c>
      <c r="B5" s="36" t="s">
        <v>113</v>
      </c>
      <c r="C5" s="36" t="s">
        <v>315</v>
      </c>
      <c r="D5" s="36" t="s">
        <v>316</v>
      </c>
      <c r="E5" s="36" t="s">
        <v>114</v>
      </c>
      <c r="F5" s="36" t="s">
        <v>115</v>
      </c>
      <c r="G5" s="36" t="s">
        <v>116</v>
      </c>
      <c r="H5" s="36" t="s">
        <v>117</v>
      </c>
      <c r="I5" s="36" t="s">
        <v>314</v>
      </c>
      <c r="J5" s="36" t="s">
        <v>313</v>
      </c>
      <c r="K5" s="36" t="s">
        <v>118</v>
      </c>
      <c r="L5" s="36" t="s">
        <v>119</v>
      </c>
      <c r="M5" s="36" t="s">
        <v>148</v>
      </c>
      <c r="N5" s="36" t="s">
        <v>120</v>
      </c>
      <c r="O5" s="36" t="s">
        <v>121</v>
      </c>
      <c r="P5" s="36" t="s">
        <v>317</v>
      </c>
      <c r="Q5" s="36" t="s">
        <v>122</v>
      </c>
      <c r="R5" s="36" t="s">
        <v>123</v>
      </c>
      <c r="S5" s="36" t="s">
        <v>124</v>
      </c>
      <c r="T5" s="36" t="s">
        <v>130</v>
      </c>
      <c r="U5" s="36" t="s">
        <v>125</v>
      </c>
      <c r="V5" s="36" t="s">
        <v>126</v>
      </c>
      <c r="W5" s="36" t="s">
        <v>127</v>
      </c>
      <c r="Y5" s="36" t="s">
        <v>3</v>
      </c>
      <c r="AA5" s="36" t="s">
        <v>75</v>
      </c>
      <c r="AC5" s="37" t="s">
        <v>69</v>
      </c>
      <c r="AD5" s="38" t="s">
        <v>70</v>
      </c>
      <c r="AE5" s="38" t="s">
        <v>71</v>
      </c>
      <c r="AF5" s="38" t="s">
        <v>72</v>
      </c>
      <c r="AG5" s="38" t="s">
        <v>131</v>
      </c>
      <c r="AH5" s="37" t="s">
        <v>73</v>
      </c>
    </row>
    <row r="6" spans="1:34" s="20" customFormat="1" ht="28.05" customHeight="1" x14ac:dyDescent="0.25">
      <c r="A6" s="37">
        <v>1</v>
      </c>
      <c r="B6" s="41"/>
      <c r="C6" s="41"/>
      <c r="D6" s="41"/>
      <c r="E6" s="75"/>
      <c r="F6" s="75"/>
      <c r="G6" s="42"/>
      <c r="H6" s="41"/>
      <c r="I6" s="41"/>
      <c r="J6" s="41"/>
      <c r="K6" s="42"/>
      <c r="L6" s="41"/>
      <c r="M6" s="41"/>
      <c r="N6" s="44"/>
      <c r="O6" s="41"/>
      <c r="P6" s="44"/>
      <c r="Q6" s="41"/>
      <c r="R6" s="41"/>
      <c r="S6" s="41"/>
      <c r="T6" s="41"/>
      <c r="U6" s="41"/>
      <c r="V6" s="41"/>
      <c r="W6" s="41"/>
      <c r="Y6" s="21">
        <v>0</v>
      </c>
      <c r="AA6" s="21" t="str">
        <f>IFERROR(CONCATENATE(
  VLOOKUP(B6,'Product Code'!$B$4:$C$11,2),"-",IFERROR(VLOOKUP(G6,'Product Code'!$D$4:$E$11,2),""),
  "-",
  IFERROR(VLOOKUP(H6,'Fabric Collection '!$B$3:$C$23,2),""),
  IFERROR(VLOOKUP(I6,'Product Code'!$G$4:$H$12,2),""),
  IFERROR(VLOOKUP(K6,'Product Code'!$J$4:$K$11,2),""),
  IFERROR(VLOOKUP(#REF!,'Product Code'!$M$4:$N$11,2),""),
  IF(I6="AO (0°)", "", IFERROR(VLOOKUP(L6,'Product Code'!$P$4:$Q$11,2,FALSE),"")),
  IF(AND(L6="Rail", N6="Yes", ISNA(MATCH(I6, {"AO (0°)","AO-DB (0-20°)","AO-DBE (0-20°)"}, 0))), "-QT", ""),
  IF(O6="Manual","",IFERROR(VLOOKUP(P6,'Product Code'!$V$4:$W$8,2,FALSE),"")),
  IF(O6="Manual","",IFERROR(VLOOKUP(Q6,'Product Code'!$Y$4:$Z$8,2,FALSE),"")),
  IF(O6="Manual","",IFERROR(VLOOKUP(R6,'Product Code'!$AB$4:$AC$14,2,FALSE),"")),
  IF(AND(OR(I6="AO (0°)", I6="AO-DBE (0-20°)", I6="AO-DB (0-20°)"), O6="Manual"),
    IFERROR(VLOOKUP(S6,'Product Code'!$AE$4:$AF$14,2,FALSE),""),
    ""),
  IF(AND(O6&lt;&gt;"Powered", NOT(OR(I6="AO (0°)", I6="AO-DBE (0-20°)", I6="AO-DB (0-20°)"))),
    IFERROR(VLOOKUP(U6,'Product Code'!$AH$4:$AI$20,2,FALSE),""),
    ""),
  "-",
  Y6),
"-")</f>
        <v>-</v>
      </c>
      <c r="AC6" s="23"/>
      <c r="AD6" s="23"/>
      <c r="AE6" s="23"/>
      <c r="AF6" s="23"/>
      <c r="AG6" s="23"/>
      <c r="AH6" s="43">
        <f>SUM(AC6:AG6)</f>
        <v>0</v>
      </c>
    </row>
    <row r="7" spans="1:34" s="20" customFormat="1" ht="28.05" customHeight="1" x14ac:dyDescent="0.25">
      <c r="A7" s="37">
        <f>A6+1</f>
        <v>2</v>
      </c>
      <c r="B7" s="41"/>
      <c r="C7" s="41"/>
      <c r="D7" s="41"/>
      <c r="E7" s="75"/>
      <c r="F7" s="75"/>
      <c r="G7" s="42"/>
      <c r="H7" s="41"/>
      <c r="I7" s="41"/>
      <c r="J7" s="41"/>
      <c r="K7" s="42"/>
      <c r="L7" s="41"/>
      <c r="M7" s="41"/>
      <c r="N7" s="44"/>
      <c r="O7" s="41"/>
      <c r="P7" s="44"/>
      <c r="Q7" s="41"/>
      <c r="R7" s="41"/>
      <c r="S7" s="41"/>
      <c r="T7" s="41"/>
      <c r="U7" s="41"/>
      <c r="V7" s="41"/>
      <c r="W7" s="41"/>
      <c r="Y7" s="21">
        <v>0</v>
      </c>
      <c r="AA7" s="21" t="str">
        <f>IFERROR(CONCATENATE(
  VLOOKUP(B7,'Product Code'!$B$4:$C$11,2),"-",
  A7,"-",
  IF(B7="recess",E7-10,E7),"-",
  F7,
  IFERROR(VLOOKUP(G7,'Product Code'!$D$4:$E$11,2),""),
  "-",
  IFERROR(VLOOKUP(H7,'Fabric Collection '!$B$3:$C$23,2),""),
  IFERROR(VLOOKUP(I7,'Product Code'!$G$4:$H$12,2),""),
  IFERROR(VLOOKUP(K7,'Product Code'!$J$4:$K$11,2),""),
  IFERROR(VLOOKUP(#REF!,'Product Code'!$M$4:$N$11,2),""),
  IF(I7="AO (0°)", "", IFERROR(VLOOKUP(L7,'Product Code'!$P$4:$Q$11,2,FALSE),"")),
  IF(AND(L7="Rail", N7="Yes", ISNA(MATCH(I7, {"AO (0°)","AO-DB (0-20°)","AO-DBE (0-20°)"}, 0))), "-QT", ""),
  IF(O7="Manual","",IFERROR(VLOOKUP(P7,'Product Code'!$V$4:$W$8,2,FALSE),"")),
  IF(O7="Manual","",IFERROR(VLOOKUP(Q7,'Product Code'!$Y$4:$Z$8,2,FALSE),"")),
  IF(O7="Manual","",IFERROR(VLOOKUP(R7,'Product Code'!$AB$4:$AC$14,2,FALSE),"")),
  IF(AND(OR(I7="AO (0°)", I7="AO-DBE (0-20°)", I7="AO-DB (0-20°)"), O7="Manual"),
    IFERROR(VLOOKUP(S7,'Product Code'!$AE$4:$AF$14,2,FALSE),""),
    ""),
  IF(AND(O7&lt;&gt;"Powered", NOT(OR(I7="AO (0°)", I7="AO-DBE (0-20°)", I7="AO-DB (0-20°)"))),
    IFERROR(VLOOKUP(U7,'Product Code'!$AH$4:$AI$20,2,FALSE),""),
    ""),
  "-",
  Y7),
"-")</f>
        <v>-</v>
      </c>
      <c r="AC7" s="23"/>
      <c r="AD7" s="23"/>
      <c r="AE7" s="23"/>
      <c r="AF7" s="23"/>
      <c r="AG7" s="23"/>
      <c r="AH7" s="43">
        <f t="shared" ref="AH7:AH20" si="0">SUM(AC7:AG7)</f>
        <v>0</v>
      </c>
    </row>
    <row r="8" spans="1:34" s="20" customFormat="1" ht="28.05" customHeight="1" x14ac:dyDescent="0.25">
      <c r="A8" s="37">
        <f t="shared" ref="A8:A20" si="1">A7+1</f>
        <v>3</v>
      </c>
      <c r="B8" s="41"/>
      <c r="C8" s="41"/>
      <c r="D8" s="41"/>
      <c r="E8" s="75"/>
      <c r="F8" s="75"/>
      <c r="G8" s="42"/>
      <c r="H8" s="41"/>
      <c r="I8" s="41"/>
      <c r="J8" s="41"/>
      <c r="K8" s="42"/>
      <c r="L8" s="41"/>
      <c r="M8" s="41"/>
      <c r="N8" s="44"/>
      <c r="O8" s="41"/>
      <c r="P8" s="44"/>
      <c r="Q8" s="41"/>
      <c r="R8" s="41"/>
      <c r="S8" s="41"/>
      <c r="T8" s="41"/>
      <c r="U8" s="41"/>
      <c r="V8" s="41"/>
      <c r="W8" s="41"/>
      <c r="Y8" s="21">
        <v>0</v>
      </c>
      <c r="AA8" s="21" t="str">
        <f>IFERROR(CONCATENATE(
  VLOOKUP(B8,'Product Code'!$B$4:$C$11,2),"-",
  A8,"-",
  IF(B8="recess",E8-10,E8),"-",
  F8,
  IFERROR(VLOOKUP(G8,'Product Code'!$D$4:$E$11,2),""),
  "-",
  IFERROR(VLOOKUP(H8,'Fabric Collection '!$B$3:$C$23,2),""),
  IFERROR(VLOOKUP(I8,'Product Code'!$G$4:$H$12,2),""),
  IFERROR(VLOOKUP(K8,'Product Code'!$J$4:$K$11,2),""),
  IFERROR(VLOOKUP(#REF!,'Product Code'!$M$4:$N$11,2),""),
  IF(I8="AO (0°)", "", IFERROR(VLOOKUP(L8,'Product Code'!$P$4:$Q$11,2,FALSE),"")),
  IF(AND(L8="Rail", N8="Yes", ISNA(MATCH(I8, {"AO (0°)","AO-DB (0-20°)","AO-DBE (0-20°)"}, 0))), "-QT", ""),
  IF(O8="Manual","",IFERROR(VLOOKUP(P8,'Product Code'!$V$4:$W$8,2,FALSE),"")),
  IF(O8="Manual","",IFERROR(VLOOKUP(Q8,'Product Code'!$Y$4:$Z$8,2,FALSE),"")),
  IF(O8="Manual","",IFERROR(VLOOKUP(R8,'Product Code'!$AB$4:$AC$14,2,FALSE),"")),
  IF(AND(OR(I8="AO (0°)", I8="AO-DBE (0-20°)", I8="AO-DB (0-20°)"), O8="Manual"),
    IFERROR(VLOOKUP(S8,'Product Code'!$AE$4:$AF$14,2,FALSE),""),
    ""),
  IF(AND(O8&lt;&gt;"Powered", NOT(OR(I8="AO (0°)", I8="AO-DBE (0-20°)", I8="AO-DB (0-20°)"))),
    IFERROR(VLOOKUP(U8,'Product Code'!$AH$4:$AI$20,2,FALSE),""),
    ""),
  "-",
  Y8),
"-")</f>
        <v>-</v>
      </c>
      <c r="AC8" s="23"/>
      <c r="AD8" s="23"/>
      <c r="AE8" s="23"/>
      <c r="AF8" s="23"/>
      <c r="AG8" s="23"/>
      <c r="AH8" s="43">
        <f t="shared" si="0"/>
        <v>0</v>
      </c>
    </row>
    <row r="9" spans="1:34" s="20" customFormat="1" ht="28.05" customHeight="1" x14ac:dyDescent="0.25">
      <c r="A9" s="37">
        <f t="shared" si="1"/>
        <v>4</v>
      </c>
      <c r="B9" s="41"/>
      <c r="C9" s="41"/>
      <c r="D9" s="41"/>
      <c r="E9" s="75"/>
      <c r="F9" s="75"/>
      <c r="G9" s="42"/>
      <c r="H9" s="41"/>
      <c r="I9" s="41"/>
      <c r="J9" s="41"/>
      <c r="K9" s="42"/>
      <c r="L9" s="41"/>
      <c r="M9" s="41"/>
      <c r="N9" s="44"/>
      <c r="O9" s="41"/>
      <c r="P9" s="44"/>
      <c r="Q9" s="41"/>
      <c r="R9" s="41"/>
      <c r="S9" s="41"/>
      <c r="T9" s="41"/>
      <c r="U9" s="41"/>
      <c r="V9" s="41"/>
      <c r="W9" s="41"/>
      <c r="Y9" s="21">
        <v>0</v>
      </c>
      <c r="AA9" s="21" t="str">
        <f>IFERROR(CONCATENATE(
  VLOOKUP(B9,'Product Code'!$B$4:$C$11,2),"-",
  A9,"-",
  IF(B9="recess",E9-10,E9),"-",
  F9,
  IFERROR(VLOOKUP(G9,'Product Code'!$D$4:$E$11,2),""),
  "-",
  IFERROR(VLOOKUP(H9,'Fabric Collection '!$B$3:$C$23,2),""),
  IFERROR(VLOOKUP(I9,'Product Code'!$G$4:$H$12,2),""),
  IFERROR(VLOOKUP(K9,'Product Code'!$J$4:$K$11,2),""),
  IFERROR(VLOOKUP(#REF!,'Product Code'!$M$4:$N$11,2),""),
  IF(I9="AO (0°)", "", IFERROR(VLOOKUP(L9,'Product Code'!$P$4:$Q$11,2,FALSE),"")),
  IF(AND(L9="Rail", N9="Yes", ISNA(MATCH(I9, {"AO (0°)","AO-DB (0-20°)","AO-DBE (0-20°)"}, 0))), "-QT", ""),
  IF(O9="Manual","",IFERROR(VLOOKUP(P9,'Product Code'!$V$4:$W$8,2,FALSE),"")),
  IF(O9="Manual","",IFERROR(VLOOKUP(Q9,'Product Code'!$Y$4:$Z$8,2,FALSE),"")),
  IF(O9="Manual","",IFERROR(VLOOKUP(R9,'Product Code'!$AB$4:$AC$14,2,FALSE),"")),
  IF(AND(OR(I9="AO (0°)", I9="AO-DBE (0-20°)", I9="AO-DB (0-20°)"), O9="Manual"),
    IFERROR(VLOOKUP(S9,'Product Code'!$AE$4:$AF$14,2,FALSE),""),
    ""),
  IF(AND(O9&lt;&gt;"Powered", NOT(OR(I9="AO (0°)", I9="AO-DBE (0-20°)", I9="AO-DB (0-20°)"))),
    IFERROR(VLOOKUP(U9,'Product Code'!$AH$4:$AI$20,2,FALSE),""),
    ""),
  "-",
  Y9),
"-")</f>
        <v>-</v>
      </c>
      <c r="AC9" s="23"/>
      <c r="AD9" s="23"/>
      <c r="AE9" s="23"/>
      <c r="AF9" s="23"/>
      <c r="AG9" s="23"/>
      <c r="AH9" s="43">
        <f t="shared" si="0"/>
        <v>0</v>
      </c>
    </row>
    <row r="10" spans="1:34" s="20" customFormat="1" ht="28.05" customHeight="1" x14ac:dyDescent="0.25">
      <c r="A10" s="37">
        <f t="shared" si="1"/>
        <v>5</v>
      </c>
      <c r="B10" s="41"/>
      <c r="C10" s="41"/>
      <c r="D10" s="41"/>
      <c r="E10" s="75"/>
      <c r="F10" s="75"/>
      <c r="G10" s="42"/>
      <c r="H10" s="41"/>
      <c r="I10" s="41"/>
      <c r="J10" s="41"/>
      <c r="K10" s="42"/>
      <c r="L10" s="41"/>
      <c r="M10" s="41"/>
      <c r="N10" s="44"/>
      <c r="O10" s="41"/>
      <c r="P10" s="44"/>
      <c r="Q10" s="41"/>
      <c r="R10" s="41"/>
      <c r="S10" s="41"/>
      <c r="T10" s="41"/>
      <c r="U10" s="41"/>
      <c r="V10" s="41"/>
      <c r="W10" s="41"/>
      <c r="Y10" s="21">
        <v>0</v>
      </c>
      <c r="AA10" s="21" t="str">
        <f>IFERROR(CONCATENATE(
  VLOOKUP(B10,'Product Code'!$B$4:$C$11,2),"-",
  A10,"-",
  IF(B10="recess",E10-10,E10),"-",
  F10,
  IFERROR(VLOOKUP(G10,'Product Code'!$D$4:$E$11,2),""),
  "-",
  IFERROR(VLOOKUP(H10,'Fabric Collection '!$B$3:$C$23,2),""),
  IFERROR(VLOOKUP(I10,'Product Code'!$G$4:$H$12,2),""),
  IFERROR(VLOOKUP(K10,'Product Code'!$J$4:$K$11,2),""),
  IFERROR(VLOOKUP(#REF!,'Product Code'!$M$4:$N$11,2),""),
  IF(I10="AO (0°)", "", IFERROR(VLOOKUP(L10,'Product Code'!$P$4:$Q$11,2,FALSE),"")),
  IF(AND(L10="Rail", N10="Yes", ISNA(MATCH(I10, {"AO (0°)","AO-DB (0-20°)","AO-DBE (0-20°)"}, 0))), "-QT", ""),
  IF(O10="Manual","",IFERROR(VLOOKUP(P10,'Product Code'!$V$4:$W$8,2,FALSE),"")),
  IF(O10="Manual","",IFERROR(VLOOKUP(Q10,'Product Code'!$Y$4:$Z$8,2,FALSE),"")),
  IF(O10="Manual","",IFERROR(VLOOKUP(R10,'Product Code'!$AB$4:$AC$14,2,FALSE),"")),
  IF(AND(OR(I10="AO (0°)", I10="AO-DBE (0-20°)", I10="AO-DB (0-20°)"), O10="Manual"),
    IFERROR(VLOOKUP(S10,'Product Code'!$AE$4:$AF$14,2,FALSE),""),
    ""),
  IF(AND(O10&lt;&gt;"Powered", NOT(OR(I10="AO (0°)", I10="AO-DBE (0-20°)", I10="AO-DB (0-20°)"))),
    IFERROR(VLOOKUP(U10,'Product Code'!$AH$4:$AI$20,2,FALSE),""),
    ""),
  "-",
  Y10),
"-")</f>
        <v>-</v>
      </c>
      <c r="AC10" s="23"/>
      <c r="AD10" s="23"/>
      <c r="AE10" s="23"/>
      <c r="AF10" s="23"/>
      <c r="AG10" s="23"/>
      <c r="AH10" s="43">
        <f t="shared" si="0"/>
        <v>0</v>
      </c>
    </row>
    <row r="11" spans="1:34" s="20" customFormat="1" ht="28.05" customHeight="1" x14ac:dyDescent="0.25">
      <c r="A11" s="37">
        <f t="shared" si="1"/>
        <v>6</v>
      </c>
      <c r="B11" s="41"/>
      <c r="C11" s="41"/>
      <c r="D11" s="41"/>
      <c r="E11" s="75"/>
      <c r="F11" s="75"/>
      <c r="G11" s="42"/>
      <c r="H11" s="41"/>
      <c r="I11" s="41"/>
      <c r="J11" s="41"/>
      <c r="K11" s="42"/>
      <c r="L11" s="41"/>
      <c r="M11" s="41"/>
      <c r="N11" s="44"/>
      <c r="O11" s="41"/>
      <c r="P11" s="44"/>
      <c r="Q11" s="41"/>
      <c r="R11" s="41"/>
      <c r="S11" s="41"/>
      <c r="T11" s="41"/>
      <c r="U11" s="41"/>
      <c r="V11" s="41"/>
      <c r="W11" s="41"/>
      <c r="Y11" s="21">
        <v>0</v>
      </c>
      <c r="AA11" s="21" t="str">
        <f>IFERROR(CONCATENATE(
  VLOOKUP(B11,'Product Code'!$B$4:$C$11,2),"-",
  A11,"-",
  IF(B11="recess",E11-10,E11),"-",
  F11,
  IFERROR(VLOOKUP(G11,'Product Code'!$D$4:$E$11,2),""),
  "-",
  IFERROR(VLOOKUP(H11,'Fabric Collection '!$B$3:$C$23,2),""),
  IFERROR(VLOOKUP(I11,'Product Code'!$G$4:$H$12,2),""),
  IFERROR(VLOOKUP(K11,'Product Code'!$J$4:$K$11,2),""),
  IFERROR(VLOOKUP(#REF!,'Product Code'!$M$4:$N$11,2),""),
  IF(I11="AO (0°)", "", IFERROR(VLOOKUP(L11,'Product Code'!$P$4:$Q$11,2,FALSE),"")),
  IF(AND(L11="Rail", N11="Yes", ISNA(MATCH(I11, {"AO (0°)","AO-DB (0-20°)","AO-DBE (0-20°)"}, 0))), "-QT", ""),
  IF(O11="Manual","",IFERROR(VLOOKUP(P11,'Product Code'!$V$4:$W$8,2,FALSE),"")),
  IF(O11="Manual","",IFERROR(VLOOKUP(Q11,'Product Code'!$Y$4:$Z$8,2,FALSE),"")),
  IF(O11="Manual","",IFERROR(VLOOKUP(R11,'Product Code'!$AB$4:$AC$14,2,FALSE),"")),
  IF(AND(OR(I11="AO (0°)", I11="AO-DBE (0-20°)", I11="AO-DB (0-20°)"), O11="Manual"),
    IFERROR(VLOOKUP(S11,'Product Code'!$AE$4:$AF$14,2,FALSE),""),
    ""),
  IF(AND(O11&lt;&gt;"Powered", NOT(OR(I11="AO (0°)", I11="AO-DBE (0-20°)", I11="AO-DB (0-20°)"))),
    IFERROR(VLOOKUP(U11,'Product Code'!$AH$4:$AI$20,2,FALSE),""),
    ""),
  "-",
  Y11),
"-")</f>
        <v>-</v>
      </c>
      <c r="AC11" s="23"/>
      <c r="AD11" s="23"/>
      <c r="AE11" s="23"/>
      <c r="AF11" s="23"/>
      <c r="AG11" s="23"/>
      <c r="AH11" s="43">
        <f t="shared" si="0"/>
        <v>0</v>
      </c>
    </row>
    <row r="12" spans="1:34" s="20" customFormat="1" ht="28.05" customHeight="1" x14ac:dyDescent="0.25">
      <c r="A12" s="37">
        <f t="shared" si="1"/>
        <v>7</v>
      </c>
      <c r="B12" s="41"/>
      <c r="C12" s="41"/>
      <c r="D12" s="41"/>
      <c r="E12" s="75"/>
      <c r="F12" s="75"/>
      <c r="G12" s="42"/>
      <c r="H12" s="41"/>
      <c r="I12" s="41"/>
      <c r="J12" s="41"/>
      <c r="K12" s="42"/>
      <c r="L12" s="41"/>
      <c r="M12" s="41"/>
      <c r="N12" s="44"/>
      <c r="O12" s="41"/>
      <c r="P12" s="44"/>
      <c r="Q12" s="41"/>
      <c r="R12" s="41"/>
      <c r="S12" s="41"/>
      <c r="T12" s="41"/>
      <c r="U12" s="41"/>
      <c r="V12" s="41"/>
      <c r="W12" s="41"/>
      <c r="Y12" s="21">
        <v>0</v>
      </c>
      <c r="AA12" s="21" t="str">
        <f>IFERROR(CONCATENATE(
  VLOOKUP(B12,'Product Code'!$B$4:$C$11,2),"-",
  A12,"-",
  IF(B12="recess",E12-10,E12),"-",
  F12,
  IFERROR(VLOOKUP(G12,'Product Code'!$D$4:$E$11,2),""),
  "-",
  IFERROR(VLOOKUP(H12,'Fabric Collection '!$B$3:$C$23,2),""),
  IFERROR(VLOOKUP(I12,'Product Code'!$G$4:$H$12,2),""),
  IFERROR(VLOOKUP(K12,'Product Code'!$J$4:$K$11,2),""),
  IFERROR(VLOOKUP(#REF!,'Product Code'!$M$4:$N$11,2),""),
  IF(I12="AO (0°)", "", IFERROR(VLOOKUP(L12,'Product Code'!$P$4:$Q$11,2,FALSE),"")),
  IF(AND(L12="Rail", N12="Yes", ISNA(MATCH(I12, {"AO (0°)","AO-DB (0-20°)","AO-DBE (0-20°)"}, 0))), "-QT", ""),
  IF(O12="Manual","",IFERROR(VLOOKUP(P12,'Product Code'!$V$4:$W$8,2,FALSE),"")),
  IF(O12="Manual","",IFERROR(VLOOKUP(Q12,'Product Code'!$Y$4:$Z$8,2,FALSE),"")),
  IF(O12="Manual","",IFERROR(VLOOKUP(R12,'Product Code'!$AB$4:$AC$14,2,FALSE),"")),
  IF(AND(OR(I12="AO (0°)", I12="AO-DBE (0-20°)", I12="AO-DB (0-20°)"), O12="Manual"),
    IFERROR(VLOOKUP(S12,'Product Code'!$AE$4:$AF$14,2,FALSE),""),
    ""),
  IF(AND(O12&lt;&gt;"Powered", NOT(OR(I12="AO (0°)", I12="AO-DBE (0-20°)", I12="AO-DB (0-20°)"))),
    IFERROR(VLOOKUP(U12,'Product Code'!$AH$4:$AI$20,2,FALSE),""),
    ""),
  "-",
  Y12),
"-")</f>
        <v>-</v>
      </c>
      <c r="AC12" s="23"/>
      <c r="AD12" s="23"/>
      <c r="AE12" s="23"/>
      <c r="AF12" s="23"/>
      <c r="AG12" s="23"/>
      <c r="AH12" s="43">
        <f t="shared" si="0"/>
        <v>0</v>
      </c>
    </row>
    <row r="13" spans="1:34" s="20" customFormat="1" ht="28.05" customHeight="1" x14ac:dyDescent="0.25">
      <c r="A13" s="37">
        <f t="shared" si="1"/>
        <v>8</v>
      </c>
      <c r="B13" s="41"/>
      <c r="C13" s="41"/>
      <c r="D13" s="41"/>
      <c r="E13" s="75"/>
      <c r="F13" s="75"/>
      <c r="G13" s="42"/>
      <c r="H13" s="41"/>
      <c r="I13" s="41"/>
      <c r="J13" s="41"/>
      <c r="K13" s="42"/>
      <c r="L13" s="41"/>
      <c r="M13" s="41"/>
      <c r="N13" s="44"/>
      <c r="O13" s="41"/>
      <c r="P13" s="44"/>
      <c r="Q13" s="41"/>
      <c r="R13" s="41"/>
      <c r="S13" s="41"/>
      <c r="T13" s="41"/>
      <c r="U13" s="41"/>
      <c r="V13" s="41"/>
      <c r="W13" s="41"/>
      <c r="Y13" s="21">
        <v>0</v>
      </c>
      <c r="AA13" s="21" t="str">
        <f>IFERROR(CONCATENATE(
  VLOOKUP(B13,'Product Code'!$B$4:$C$11,2),"-",
  A13,"-",
  IF(B13="recess",E13-10,E13),"-",
  F13,
  IFERROR(VLOOKUP(G13,'Product Code'!$D$4:$E$11,2),""),
  "-",
  IFERROR(VLOOKUP(H13,'Fabric Collection '!$B$3:$C$23,2),""),
  IFERROR(VLOOKUP(I13,'Product Code'!$G$4:$H$12,2),""),
  IFERROR(VLOOKUP(K13,'Product Code'!$J$4:$K$11,2),""),
  IFERROR(VLOOKUP(#REF!,'Product Code'!$M$4:$N$11,2),""),
  IF(I13="AO (0°)", "", IFERROR(VLOOKUP(L13,'Product Code'!$P$4:$Q$11,2,FALSE),"")),
  IF(AND(L13="Rail", N13="Yes", ISNA(MATCH(I13, {"AO (0°)","AO-DB (0-20°)","AO-DBE (0-20°)"}, 0))), "-QT", ""),
  IF(O13="Manual","",IFERROR(VLOOKUP(P13,'Product Code'!$V$4:$W$8,2,FALSE),"")),
  IF(O13="Manual","",IFERROR(VLOOKUP(Q13,'Product Code'!$Y$4:$Z$8,2,FALSE),"")),
  IF(O13="Manual","",IFERROR(VLOOKUP(R13,'Product Code'!$AB$4:$AC$14,2,FALSE),"")),
  IF(AND(OR(I13="AO (0°)", I13="AO-DBE (0-20°)", I13="AO-DB (0-20°)"), O13="Manual"),
    IFERROR(VLOOKUP(S13,'Product Code'!$AE$4:$AF$14,2,FALSE),""),
    ""),
  IF(AND(O13&lt;&gt;"Powered", NOT(OR(I13="AO (0°)", I13="AO-DBE (0-20°)", I13="AO-DB (0-20°)"))),
    IFERROR(VLOOKUP(U13,'Product Code'!$AH$4:$AI$20,2,FALSE),""),
    ""),
  "-",
  Y13),
"-")</f>
        <v>-</v>
      </c>
      <c r="AC13" s="23"/>
      <c r="AD13" s="23"/>
      <c r="AE13" s="23"/>
      <c r="AF13" s="23"/>
      <c r="AG13" s="23"/>
      <c r="AH13" s="43">
        <f t="shared" si="0"/>
        <v>0</v>
      </c>
    </row>
    <row r="14" spans="1:34" s="20" customFormat="1" ht="28.05" customHeight="1" x14ac:dyDescent="0.25">
      <c r="A14" s="37">
        <f t="shared" si="1"/>
        <v>9</v>
      </c>
      <c r="B14" s="41"/>
      <c r="C14" s="41"/>
      <c r="D14" s="41"/>
      <c r="E14" s="75"/>
      <c r="F14" s="75"/>
      <c r="G14" s="42"/>
      <c r="H14" s="41"/>
      <c r="I14" s="41"/>
      <c r="J14" s="41"/>
      <c r="K14" s="42"/>
      <c r="L14" s="41"/>
      <c r="M14" s="41"/>
      <c r="N14" s="44"/>
      <c r="O14" s="41"/>
      <c r="P14" s="44"/>
      <c r="Q14" s="41"/>
      <c r="R14" s="41"/>
      <c r="S14" s="41"/>
      <c r="T14" s="41"/>
      <c r="U14" s="41"/>
      <c r="V14" s="41"/>
      <c r="W14" s="41"/>
      <c r="Y14" s="21">
        <v>0</v>
      </c>
      <c r="AA14" s="21" t="str">
        <f>IFERROR(CONCATENATE(
  VLOOKUP(B14,'Product Code'!$B$4:$C$11,2),"-",
  A14,"-",
  IF(B14="recess",E14-10,E14),"-",
  F14,
  IFERROR(VLOOKUP(G14,'Product Code'!$D$4:$E$11,2),""),
  "-",
  IFERROR(VLOOKUP(H14,'Fabric Collection '!$B$3:$C$23,2),""),
  IFERROR(VLOOKUP(I14,'Product Code'!$G$4:$H$12,2),""),
  IFERROR(VLOOKUP(K14,'Product Code'!$J$4:$K$11,2),""),
  IFERROR(VLOOKUP(#REF!,'Product Code'!$M$4:$N$11,2),""),
  IF(I14="AO (0°)", "", IFERROR(VLOOKUP(L14,'Product Code'!$P$4:$Q$11,2,FALSE),"")),
  IF(AND(L14="Rail", N14="Yes", ISNA(MATCH(I14, {"AO (0°)","AO-DB (0-20°)","AO-DBE (0-20°)"}, 0))), "-QT", ""),
  IF(O14="Manual","",IFERROR(VLOOKUP(P14,'Product Code'!$V$4:$W$8,2,FALSE),"")),
  IF(O14="Manual","",IFERROR(VLOOKUP(Q14,'Product Code'!$Y$4:$Z$8,2,FALSE),"")),
  IF(O14="Manual","",IFERROR(VLOOKUP(R14,'Product Code'!$AB$4:$AC$14,2,FALSE),"")),
  IF(AND(OR(I14="AO (0°)", I14="AO-DBE (0-20°)", I14="AO-DB (0-20°)"), O14="Manual"),
    IFERROR(VLOOKUP(S14,'Product Code'!$AE$4:$AF$14,2,FALSE),""),
    ""),
  IF(AND(O14&lt;&gt;"Powered", NOT(OR(I14="AO (0°)", I14="AO-DBE (0-20°)", I14="AO-DB (0-20°)"))),
    IFERROR(VLOOKUP(U14,'Product Code'!$AH$4:$AI$20,2,FALSE),""),
    ""),
  "-",
  Y14),
"-")</f>
        <v>-</v>
      </c>
      <c r="AC14" s="23"/>
      <c r="AD14" s="23"/>
      <c r="AE14" s="23"/>
      <c r="AF14" s="23"/>
      <c r="AG14" s="23"/>
      <c r="AH14" s="43">
        <f t="shared" si="0"/>
        <v>0</v>
      </c>
    </row>
    <row r="15" spans="1:34" s="20" customFormat="1" ht="28.05" customHeight="1" x14ac:dyDescent="0.25">
      <c r="A15" s="37">
        <f t="shared" si="1"/>
        <v>10</v>
      </c>
      <c r="B15" s="41"/>
      <c r="C15" s="41"/>
      <c r="D15" s="41"/>
      <c r="E15" s="75"/>
      <c r="F15" s="75"/>
      <c r="G15" s="42"/>
      <c r="H15" s="41"/>
      <c r="I15" s="41"/>
      <c r="J15" s="41"/>
      <c r="K15" s="42"/>
      <c r="L15" s="41"/>
      <c r="M15" s="41"/>
      <c r="N15" s="44"/>
      <c r="O15" s="41"/>
      <c r="P15" s="44"/>
      <c r="Q15" s="41"/>
      <c r="R15" s="41"/>
      <c r="S15" s="41"/>
      <c r="T15" s="41"/>
      <c r="U15" s="41"/>
      <c r="V15" s="41"/>
      <c r="W15" s="41"/>
      <c r="Y15" s="21">
        <v>0</v>
      </c>
      <c r="AA15" s="21" t="str">
        <f>IFERROR(CONCATENATE(
  VLOOKUP(B15,'Product Code'!$B$4:$C$11,2),"-",
  A15,"-",
  IF(B15="recess",E15-10,E15),"-",
  F15,
  IFERROR(VLOOKUP(G15,'Product Code'!$D$4:$E$11,2),""),
  "-",
  IFERROR(VLOOKUP(H15,'Fabric Collection '!$B$3:$C$23,2),""),
  IFERROR(VLOOKUP(I15,'Product Code'!$G$4:$H$12,2),""),
  IFERROR(VLOOKUP(K15,'Product Code'!$J$4:$K$11,2),""),
  IFERROR(VLOOKUP(#REF!,'Product Code'!$M$4:$N$11,2),""),
  IF(I15="AO (0°)", "", IFERROR(VLOOKUP(L15,'Product Code'!$P$4:$Q$11,2,FALSE),"")),
  IF(AND(L15="Rail", N15="Yes", ISNA(MATCH(I15, {"AO (0°)","AO-DB (0-20°)","AO-DBE (0-20°)"}, 0))), "-QT", ""),
  IF(O15="Manual","",IFERROR(VLOOKUP(P15,'Product Code'!$V$4:$W$8,2,FALSE),"")),
  IF(O15="Manual","",IFERROR(VLOOKUP(Q15,'Product Code'!$Y$4:$Z$8,2,FALSE),"")),
  IF(O15="Manual","",IFERROR(VLOOKUP(R15,'Product Code'!$AB$4:$AC$14,2,FALSE),"")),
  IF(AND(OR(I15="AO (0°)", I15="AO-DBE (0-20°)", I15="AO-DB (0-20°)"), O15="Manual"),
    IFERROR(VLOOKUP(S15,'Product Code'!$AE$4:$AF$14,2,FALSE),""),
    ""),
  IF(AND(O15&lt;&gt;"Powered", NOT(OR(I15="AO (0°)", I15="AO-DBE (0-20°)", I15="AO-DB (0-20°)"))),
    IFERROR(VLOOKUP(U15,'Product Code'!$AH$4:$AI$20,2,FALSE),""),
    ""),
  "-",
  Y15),
"-")</f>
        <v>-</v>
      </c>
      <c r="AC15" s="23"/>
      <c r="AD15" s="23"/>
      <c r="AE15" s="23"/>
      <c r="AF15" s="23"/>
      <c r="AG15" s="23"/>
      <c r="AH15" s="43">
        <f t="shared" si="0"/>
        <v>0</v>
      </c>
    </row>
    <row r="16" spans="1:34" s="20" customFormat="1" ht="28.05" hidden="1" customHeight="1" x14ac:dyDescent="0.25">
      <c r="A16" s="37">
        <f t="shared" si="1"/>
        <v>11</v>
      </c>
      <c r="B16" s="41"/>
      <c r="C16" s="41"/>
      <c r="D16" s="41"/>
      <c r="E16" s="42"/>
      <c r="F16" s="42"/>
      <c r="G16" s="42"/>
      <c r="H16" s="41"/>
      <c r="I16" s="41"/>
      <c r="J16" s="41"/>
      <c r="K16" s="42"/>
      <c r="L16" s="41"/>
      <c r="M16" s="41"/>
      <c r="N16" s="44"/>
      <c r="O16" s="41"/>
      <c r="P16" s="44"/>
      <c r="Q16" s="41"/>
      <c r="R16" s="41"/>
      <c r="S16" s="41"/>
      <c r="T16" s="41"/>
      <c r="U16" s="41"/>
      <c r="V16" s="41">
        <v>1</v>
      </c>
      <c r="W16" s="41" t="s">
        <v>65</v>
      </c>
      <c r="Y16" s="21">
        <v>0</v>
      </c>
      <c r="AA16" s="21" t="str">
        <f>IFERROR(CONCATENATE(
  VLOOKUP(B16,'Product Code'!$B$4:$C$11,2),"-",
  A16,"-",
  IF(B16="recess",E16-10,E16),"-",
  F16,
  IFERROR(VLOOKUP(G16,'Product Code'!$D$4:$E$11,2),""),
  "-",
  IFERROR(VLOOKUP(H16,'Fabric Collection '!$B$3:$C$23,2),""),
  IFERROR(VLOOKUP(I16,'Product Code'!$G$4:$H$12,2),""),
  IFERROR(VLOOKUP(K16,'Product Code'!$J$4:$K$11,2),""),
  IFERROR(VLOOKUP(#REF!,'Product Code'!$M$4:$N$11,2),""),
  IF(I16="AO (0°)", "", IFERROR(VLOOKUP(L16,'Product Code'!$P$4:$Q$11,2,FALSE),"")),
  IF(AND(L16="Rail", N16="Yes", ISNA(MATCH(I16, {"AO (0°)","AO-DB (0-20°)","AO-DBE (0-20°)"}, 0))), "-QT", ""),
  IF(O16="Manual","",IFERROR(VLOOKUP(P16,'Product Code'!$V$4:$W$8,2,FALSE),"")),
  IF(O16="Manual","",IFERROR(VLOOKUP(Q16,'Product Code'!$Y$4:$Z$8,2,FALSE),"")),
  IF(O16="Manual","",IFERROR(VLOOKUP(R16,'Product Code'!$AB$4:$AC$14,2,FALSE),"")),
  IF(AND(OR(I16="AO (0°)", I16="AO-DBE (0-20°)", I16="AO-DB (0-20°)"), O16="Manual"),
    IFERROR(VLOOKUP(S16,'Product Code'!$AE$4:$AF$14,2,FALSE),""),
    ""),
  IF(AND(O16&lt;&gt;"Powered", NOT(OR(I16="AO (0°)", I16="AO-DBE (0-20°)", I16="AO-DB (0-20°)"))),
    IFERROR(VLOOKUP(U16,'Product Code'!$AH$4:$AI$20,2,FALSE),""),
    ""),
  "-",
  Y16),
"-")</f>
        <v>-</v>
      </c>
      <c r="AC16" s="23"/>
      <c r="AD16" s="23"/>
      <c r="AE16" s="23"/>
      <c r="AF16" s="23"/>
      <c r="AG16" s="23"/>
      <c r="AH16" s="43">
        <f t="shared" si="0"/>
        <v>0</v>
      </c>
    </row>
    <row r="17" spans="1:42" s="20" customFormat="1" ht="28.05" hidden="1" customHeight="1" x14ac:dyDescent="0.25">
      <c r="A17" s="37">
        <f t="shared" si="1"/>
        <v>12</v>
      </c>
      <c r="B17" s="41"/>
      <c r="C17" s="41"/>
      <c r="D17" s="41"/>
      <c r="E17" s="42"/>
      <c r="F17" s="42"/>
      <c r="G17" s="42"/>
      <c r="H17" s="41"/>
      <c r="I17" s="41"/>
      <c r="J17" s="41"/>
      <c r="K17" s="42"/>
      <c r="L17" s="41"/>
      <c r="M17" s="41"/>
      <c r="N17" s="44"/>
      <c r="O17" s="41"/>
      <c r="P17" s="44"/>
      <c r="Q17" s="41"/>
      <c r="R17" s="41"/>
      <c r="S17" s="41"/>
      <c r="T17" s="41"/>
      <c r="U17" s="41"/>
      <c r="V17" s="41">
        <v>1</v>
      </c>
      <c r="W17" s="41" t="s">
        <v>65</v>
      </c>
      <c r="Y17" s="21">
        <v>0</v>
      </c>
      <c r="AA17" s="21" t="str">
        <f>IFERROR(CONCATENATE(
  VLOOKUP(B17,'Product Code'!$B$4:$C$11,2),"-",
  A17,"-",
  IF(B17="recess",E17-10,E17),"-",
  F17,
  IFERROR(VLOOKUP(G17,'Product Code'!$D$4:$E$11,2),""),
  "-",
  IFERROR(VLOOKUP(H17,'Fabric Collection '!$B$3:$C$23,2),""),
  IFERROR(VLOOKUP(I17,'Product Code'!$G$4:$H$12,2),""),
  IFERROR(VLOOKUP(K17,'Product Code'!$J$4:$K$11,2),""),
  IFERROR(VLOOKUP(#REF!,'Product Code'!$M$4:$N$11,2),""),
  IF(I17="AO (0°)", "", IFERROR(VLOOKUP(L17,'Product Code'!$P$4:$Q$11,2,FALSE),"")),
  IF(AND(L17="Rail", N17="Yes", ISNA(MATCH(I17, {"AO (0°)","AO-DB (0-20°)","AO-DBE (0-20°)"}, 0))), "-QT", ""),
  IF(O17="Manual","",IFERROR(VLOOKUP(P17,'Product Code'!$V$4:$W$8,2,FALSE),"")),
  IF(O17="Manual","",IFERROR(VLOOKUP(Q17,'Product Code'!$Y$4:$Z$8,2,FALSE),"")),
  IF(O17="Manual","",IFERROR(VLOOKUP(R17,'Product Code'!$AB$4:$AC$14,2,FALSE),"")),
  IF(AND(OR(I17="AO (0°)", I17="AO-DBE (0-20°)", I17="AO-DB (0-20°)"), O17="Manual"),
    IFERROR(VLOOKUP(S17,'Product Code'!$AE$4:$AF$14,2,FALSE),""),
    ""),
  IF(AND(O17&lt;&gt;"Powered", NOT(OR(I17="AO (0°)", I17="AO-DBE (0-20°)", I17="AO-DB (0-20°)"))),
    IFERROR(VLOOKUP(U17,'Product Code'!$AH$4:$AI$20,2,FALSE),""),
    ""),
  "-",
  Y17),
"-")</f>
        <v>-</v>
      </c>
      <c r="AC17" s="23"/>
      <c r="AD17" s="23"/>
      <c r="AE17" s="23"/>
      <c r="AF17" s="23"/>
      <c r="AG17" s="23"/>
      <c r="AH17" s="43">
        <f t="shared" si="0"/>
        <v>0</v>
      </c>
    </row>
    <row r="18" spans="1:42" s="20" customFormat="1" ht="28.05" hidden="1" customHeight="1" x14ac:dyDescent="0.25">
      <c r="A18" s="37">
        <f t="shared" si="1"/>
        <v>13</v>
      </c>
      <c r="B18" s="41"/>
      <c r="C18" s="41"/>
      <c r="D18" s="41"/>
      <c r="E18" s="42"/>
      <c r="F18" s="42"/>
      <c r="G18" s="42"/>
      <c r="H18" s="41"/>
      <c r="I18" s="41"/>
      <c r="J18" s="41"/>
      <c r="K18" s="42"/>
      <c r="L18" s="41"/>
      <c r="M18" s="41"/>
      <c r="N18" s="44"/>
      <c r="O18" s="41"/>
      <c r="P18" s="44"/>
      <c r="Q18" s="41"/>
      <c r="R18" s="41"/>
      <c r="S18" s="41"/>
      <c r="T18" s="41"/>
      <c r="U18" s="41"/>
      <c r="V18" s="41">
        <v>1</v>
      </c>
      <c r="W18" s="41" t="s">
        <v>65</v>
      </c>
      <c r="Y18" s="21">
        <v>0</v>
      </c>
      <c r="AA18" s="21" t="str">
        <f>IFERROR(CONCATENATE(
  VLOOKUP(B18,'Product Code'!$B$4:$C$11,2),"-",
  A18,"-",
  IF(B18="recess",E18-10,E18),"-",
  F18,
  IFERROR(VLOOKUP(G18,'Product Code'!$D$4:$E$11,2),""),
  "-",
  IFERROR(VLOOKUP(H18,'Fabric Collection '!$B$3:$C$23,2),""),
  IFERROR(VLOOKUP(I18,'Product Code'!$G$4:$H$12,2),""),
  IFERROR(VLOOKUP(K18,'Product Code'!$J$4:$K$11,2),""),
  IFERROR(VLOOKUP(#REF!,'Product Code'!$M$4:$N$11,2),""),
  IF(I18="AO (0°)", "", IFERROR(VLOOKUP(L18,'Product Code'!$P$4:$Q$11,2,FALSE),"")),
  IF(AND(L18="Rail", N18="Yes", ISNA(MATCH(I18, {"AO (0°)","AO-DB (0-20°)","AO-DBE (0-20°)"}, 0))), "-QT", ""),
  IF(O18="Manual","",IFERROR(VLOOKUP(P18,'Product Code'!$V$4:$W$8,2,FALSE),"")),
  IF(O18="Manual","",IFERROR(VLOOKUP(Q18,'Product Code'!$Y$4:$Z$8,2,FALSE),"")),
  IF(O18="Manual","",IFERROR(VLOOKUP(R18,'Product Code'!$AB$4:$AC$14,2,FALSE),"")),
  IF(AND(OR(I18="AO (0°)", I18="AO-DBE (0-20°)", I18="AO-DB (0-20°)"), O18="Manual"),
    IFERROR(VLOOKUP(S18,'Product Code'!$AE$4:$AF$14,2,FALSE),""),
    ""),
  IF(AND(O18&lt;&gt;"Powered", NOT(OR(I18="AO (0°)", I18="AO-DBE (0-20°)", I18="AO-DB (0-20°)"))),
    IFERROR(VLOOKUP(U18,'Product Code'!$AH$4:$AI$20,2,FALSE),""),
    ""),
  "-",
  Y18),
"-")</f>
        <v>-</v>
      </c>
      <c r="AC18" s="23"/>
      <c r="AD18" s="23"/>
      <c r="AE18" s="23"/>
      <c r="AF18" s="23"/>
      <c r="AG18" s="23"/>
      <c r="AH18" s="43">
        <f t="shared" si="0"/>
        <v>0</v>
      </c>
    </row>
    <row r="19" spans="1:42" s="20" customFormat="1" ht="28.05" hidden="1" customHeight="1" x14ac:dyDescent="0.25">
      <c r="A19" s="37">
        <f t="shared" si="1"/>
        <v>14</v>
      </c>
      <c r="B19" s="41"/>
      <c r="C19" s="41"/>
      <c r="D19" s="41"/>
      <c r="E19" s="42"/>
      <c r="F19" s="42"/>
      <c r="G19" s="42"/>
      <c r="H19" s="41"/>
      <c r="I19" s="41"/>
      <c r="J19" s="41"/>
      <c r="K19" s="42"/>
      <c r="L19" s="41"/>
      <c r="M19" s="41"/>
      <c r="N19" s="44"/>
      <c r="O19" s="41"/>
      <c r="P19" s="44"/>
      <c r="Q19" s="41"/>
      <c r="R19" s="41"/>
      <c r="S19" s="41"/>
      <c r="T19" s="41"/>
      <c r="U19" s="41"/>
      <c r="V19" s="41">
        <v>1</v>
      </c>
      <c r="W19" s="41" t="s">
        <v>65</v>
      </c>
      <c r="Y19" s="21">
        <v>0</v>
      </c>
      <c r="AA19" s="21" t="str">
        <f>IFERROR(CONCATENATE(
  VLOOKUP(B19,'Product Code'!$B$4:$C$11,2),"-",
  A19,"-",
  IF(B19="recess",E19-10,E19),"-",
  F19,
  IFERROR(VLOOKUP(G19,'Product Code'!$D$4:$E$11,2),""),
  "-",
  IFERROR(VLOOKUP(H19,'Fabric Collection '!$B$3:$C$23,2),""),
  IFERROR(VLOOKUP(I19,'Product Code'!$G$4:$H$12,2),""),
  IFERROR(VLOOKUP(K19,'Product Code'!$J$4:$K$11,2),""),
  IFERROR(VLOOKUP(#REF!,'Product Code'!$M$4:$N$11,2),""),
  IF(I19="AO (0°)", "", IFERROR(VLOOKUP(L19,'Product Code'!$P$4:$Q$11,2,FALSE),"")),
  IF(AND(L19="Rail", N19="Yes", ISNA(MATCH(I19, {"AO (0°)","AO-DB (0-20°)","AO-DBE (0-20°)"}, 0))), "-QT", ""),
  IF(O19="Manual","",IFERROR(VLOOKUP(P19,'Product Code'!$V$4:$W$8,2,FALSE),"")),
  IF(O19="Manual","",IFERROR(VLOOKUP(Q19,'Product Code'!$Y$4:$Z$8,2,FALSE),"")),
  IF(O19="Manual","",IFERROR(VLOOKUP(R19,'Product Code'!$AB$4:$AC$14,2,FALSE),"")),
  IF(AND(OR(I19="AO (0°)", I19="AO-DBE (0-20°)", I19="AO-DB (0-20°)"), O19="Manual"),
    IFERROR(VLOOKUP(S19,'Product Code'!$AE$4:$AF$14,2,FALSE),""),
    ""),
  IF(AND(O19&lt;&gt;"Powered", NOT(OR(I19="AO (0°)", I19="AO-DBE (0-20°)", I19="AO-DB (0-20°)"))),
    IFERROR(VLOOKUP(U19,'Product Code'!$AH$4:$AI$20,2,FALSE),""),
    ""),
  "-",
  Y19),
"-")</f>
        <v>-</v>
      </c>
      <c r="AC19" s="23"/>
      <c r="AD19" s="23"/>
      <c r="AE19" s="23"/>
      <c r="AF19" s="23"/>
      <c r="AG19" s="23"/>
      <c r="AH19" s="43">
        <f t="shared" si="0"/>
        <v>0</v>
      </c>
    </row>
    <row r="20" spans="1:42" s="20" customFormat="1" ht="28.05" hidden="1" customHeight="1" x14ac:dyDescent="0.25">
      <c r="A20" s="37">
        <f t="shared" si="1"/>
        <v>15</v>
      </c>
      <c r="B20" s="41"/>
      <c r="C20" s="41"/>
      <c r="D20" s="41"/>
      <c r="E20" s="42"/>
      <c r="F20" s="42"/>
      <c r="G20" s="42"/>
      <c r="H20" s="41"/>
      <c r="I20" s="41"/>
      <c r="J20" s="41"/>
      <c r="K20" s="42"/>
      <c r="L20" s="41"/>
      <c r="M20" s="41"/>
      <c r="N20" s="44"/>
      <c r="O20" s="41"/>
      <c r="P20" s="44"/>
      <c r="Q20" s="41"/>
      <c r="R20" s="41"/>
      <c r="S20" s="41"/>
      <c r="T20" s="41"/>
      <c r="U20" s="41"/>
      <c r="V20" s="41">
        <v>1</v>
      </c>
      <c r="W20" s="41" t="s">
        <v>65</v>
      </c>
      <c r="Y20" s="21">
        <v>0</v>
      </c>
      <c r="AA20" s="21" t="str">
        <f>IFERROR(CONCATENATE(
  VLOOKUP(B20,'Product Code'!$B$4:$C$11,2),"-",
  A20,"-",
  IF(B20="recess",E20-10,E20),"-",
  F20,
  IFERROR(VLOOKUP(G20,'Product Code'!$D$4:$E$11,2),""),
  "-",
  IFERROR(VLOOKUP(H20,'Fabric Collection '!$B$3:$C$23,2),""),
  IFERROR(VLOOKUP(I20,'Product Code'!$G$4:$H$12,2),""),
  IFERROR(VLOOKUP(K20,'Product Code'!$J$4:$K$11,2),""),
  IFERROR(VLOOKUP(#REF!,'Product Code'!$M$4:$N$11,2),""),
  IF(I20="AO (0°)", "", IFERROR(VLOOKUP(L20,'Product Code'!$P$4:$Q$11,2,FALSE),"")),
  IF(AND(L20="Rail", N20="Yes", ISNA(MATCH(I20, {"AO (0°)","AO-DB (0-20°)","AO-DBE (0-20°)"}, 0))), "-QT", ""),
  IF(O20="Manual","",IFERROR(VLOOKUP(P20,'Product Code'!$V$4:$W$8,2,FALSE),"")),
  IF(O20="Manual","",IFERROR(VLOOKUP(Q20,'Product Code'!$Y$4:$Z$8,2,FALSE),"")),
  IF(O20="Manual","",IFERROR(VLOOKUP(R20,'Product Code'!$AB$4:$AC$14,2,FALSE),"")),
  IF(AND(OR(I20="AO (0°)", I20="AO-DBE (0-20°)", I20="AO-DB (0-20°)"), O20="Manual"),
    IFERROR(VLOOKUP(S20,'Product Code'!$AE$4:$AF$14,2,FALSE),""),
    ""),
  IF(AND(O20&lt;&gt;"Powered", NOT(OR(I20="AO (0°)", I20="AO-DBE (0-20°)", I20="AO-DB (0-20°)"))),
    IFERROR(VLOOKUP(U20,'Product Code'!$AH$4:$AI$20,2,FALSE),""),
    ""),
  "-",
  Y20),
"-")</f>
        <v>-</v>
      </c>
      <c r="AC20" s="23"/>
      <c r="AD20" s="23"/>
      <c r="AE20" s="23"/>
      <c r="AF20" s="23"/>
      <c r="AG20" s="23"/>
      <c r="AH20" s="43">
        <f t="shared" si="0"/>
        <v>0</v>
      </c>
    </row>
    <row r="21" spans="1:42" s="20" customFormat="1" ht="11.1" customHeight="1" x14ac:dyDescent="0.3">
      <c r="A21" s="24"/>
      <c r="B21" s="25"/>
      <c r="C21" s="25"/>
      <c r="D21" s="25"/>
      <c r="E21" s="26"/>
      <c r="F21" s="26"/>
      <c r="G21" s="26"/>
      <c r="H21" s="25"/>
      <c r="I21" s="25"/>
      <c r="J21" s="25"/>
      <c r="K21" s="26"/>
      <c r="L21" s="25"/>
      <c r="M21" s="25"/>
      <c r="N21" s="25"/>
      <c r="O21" s="25"/>
      <c r="P21" s="25"/>
      <c r="Q21" s="25"/>
      <c r="R21" s="25"/>
      <c r="S21" s="25"/>
      <c r="T21"/>
      <c r="U21" s="25"/>
      <c r="V21" s="25"/>
      <c r="X21" s="27"/>
      <c r="Z21" s="27"/>
      <c r="AB21" s="28"/>
      <c r="AC21" s="28"/>
      <c r="AD21" s="28"/>
      <c r="AE21" s="28"/>
    </row>
    <row r="22" spans="1:42" s="30" customFormat="1" ht="15.75" customHeight="1" x14ac:dyDescent="0.3">
      <c r="A22" s="29" t="s">
        <v>112</v>
      </c>
      <c r="K22" s="31"/>
      <c r="T22"/>
      <c r="AA22" s="32"/>
      <c r="AC22" s="33"/>
      <c r="AD22" s="33"/>
      <c r="AE22" s="33"/>
      <c r="AF22" s="33"/>
      <c r="AG22" s="33"/>
    </row>
    <row r="23" spans="1:42" s="30" customFormat="1" ht="15.75" customHeight="1" x14ac:dyDescent="0.3">
      <c r="A23" s="29" t="s">
        <v>136</v>
      </c>
      <c r="K23" s="31"/>
      <c r="T23"/>
      <c r="AA23" s="32"/>
      <c r="AC23" s="33"/>
      <c r="AD23" s="33"/>
      <c r="AE23" s="33"/>
      <c r="AF23" s="33"/>
      <c r="AG23" s="33"/>
    </row>
    <row r="24" spans="1:42" s="30" customFormat="1" ht="31.05" customHeight="1" x14ac:dyDescent="0.3">
      <c r="K24" s="29"/>
      <c r="L24" s="29"/>
      <c r="M24" s="29"/>
      <c r="N24" s="29"/>
      <c r="O24" s="29"/>
      <c r="P24" s="29"/>
      <c r="Q24" s="34"/>
      <c r="R24" s="34"/>
      <c r="S24" s="34"/>
      <c r="T24"/>
      <c r="U24" s="34"/>
      <c r="Z24" s="32"/>
      <c r="AB24" s="33"/>
      <c r="AC24" s="33"/>
      <c r="AD24" s="33"/>
      <c r="AE24" s="33"/>
      <c r="AJ24" s="35" t="s">
        <v>4</v>
      </c>
      <c r="AK24" s="10"/>
      <c r="AL24" s="10"/>
      <c r="AM24" s="29"/>
      <c r="AN24" s="29"/>
      <c r="AO24" s="29"/>
      <c r="AP24" s="29"/>
    </row>
    <row r="25" spans="1:42" ht="15" customHeight="1" x14ac:dyDescent="0.3">
      <c r="B25" s="47" t="s">
        <v>151</v>
      </c>
      <c r="C25" s="47"/>
      <c r="D25" s="47"/>
      <c r="E25" s="48"/>
      <c r="F25" s="48"/>
      <c r="G25" s="48"/>
      <c r="H25" s="48"/>
      <c r="K25" s="19"/>
      <c r="L25" s="19"/>
      <c r="M25" s="19"/>
      <c r="N25" s="19"/>
      <c r="O25" s="19"/>
      <c r="P25" s="19"/>
      <c r="Q25" s="19"/>
      <c r="V25" s="30"/>
      <c r="W25" s="30"/>
      <c r="AJ25" s="79"/>
      <c r="AK25" s="80"/>
      <c r="AL25" s="80"/>
      <c r="AM25" s="80"/>
      <c r="AN25" s="80"/>
      <c r="AO25" s="80"/>
      <c r="AP25" s="81"/>
    </row>
    <row r="26" spans="1:42" ht="15" customHeight="1" x14ac:dyDescent="0.3">
      <c r="B26" s="49" t="s">
        <v>152</v>
      </c>
      <c r="C26" s="69" t="str">
        <f>C6&amp;LEFT(D6,1)</f>
        <v/>
      </c>
      <c r="D26" s="50"/>
      <c r="E26" s="50"/>
      <c r="F26" s="51"/>
      <c r="G26" s="52"/>
      <c r="H26" s="53" t="s">
        <v>153</v>
      </c>
      <c r="K26" s="19"/>
      <c r="L26" s="19"/>
      <c r="M26" s="19"/>
      <c r="N26" s="19"/>
      <c r="O26" s="19"/>
      <c r="P26" s="19"/>
      <c r="Q26" s="18"/>
      <c r="V26" s="30"/>
      <c r="W26" s="30"/>
      <c r="AJ26" s="82"/>
      <c r="AK26" s="83"/>
      <c r="AL26" s="83"/>
      <c r="AM26" s="83"/>
      <c r="AN26" s="83"/>
      <c r="AO26" s="83"/>
      <c r="AP26" s="84"/>
    </row>
    <row r="27" spans="1:42" ht="15" customHeight="1" x14ac:dyDescent="0.3">
      <c r="B27" s="70"/>
      <c r="C27" s="77" t="e">
        <f>_xlfn.XLOOKUP(C26,Shapes!$B$5:$B$34,Shapes!$S$5:$S$34)</f>
        <v>#N/A</v>
      </c>
      <c r="D27" s="77"/>
      <c r="E27" s="77"/>
      <c r="F27" s="71"/>
      <c r="G27" s="54" t="s">
        <v>154</v>
      </c>
      <c r="H27" s="55"/>
      <c r="K27" s="19"/>
      <c r="L27" s="19"/>
      <c r="M27" s="19"/>
      <c r="N27" s="19"/>
      <c r="O27" s="19"/>
      <c r="P27" s="19"/>
      <c r="Q27" s="18"/>
      <c r="V27" s="30"/>
      <c r="W27" s="30"/>
      <c r="AJ27" s="82"/>
      <c r="AK27" s="83"/>
      <c r="AL27" s="83"/>
      <c r="AM27" s="83"/>
      <c r="AN27" s="83"/>
      <c r="AO27" s="83"/>
      <c r="AP27" s="84"/>
    </row>
    <row r="28" spans="1:42" ht="15" customHeight="1" x14ac:dyDescent="0.3">
      <c r="B28" s="70"/>
      <c r="C28" s="77"/>
      <c r="D28" s="77"/>
      <c r="E28" s="77"/>
      <c r="F28" s="71"/>
      <c r="G28" s="54" t="s">
        <v>155</v>
      </c>
      <c r="H28" s="55"/>
      <c r="K28" s="19"/>
      <c r="L28" s="19"/>
      <c r="M28" s="19"/>
      <c r="N28" s="19"/>
      <c r="O28" s="19"/>
      <c r="P28" s="19"/>
      <c r="Q28" s="18"/>
      <c r="V28" s="30"/>
      <c r="W28" s="30"/>
      <c r="AJ28" s="82"/>
      <c r="AK28" s="83"/>
      <c r="AL28" s="83"/>
      <c r="AM28" s="83"/>
      <c r="AN28" s="83"/>
      <c r="AO28" s="83"/>
      <c r="AP28" s="84"/>
    </row>
    <row r="29" spans="1:42" ht="15" customHeight="1" x14ac:dyDescent="0.3">
      <c r="B29" s="70"/>
      <c r="C29" s="77"/>
      <c r="D29" s="77"/>
      <c r="E29" s="77"/>
      <c r="F29" s="71"/>
      <c r="G29" s="54" t="s">
        <v>156</v>
      </c>
      <c r="H29" s="55"/>
      <c r="K29" s="19"/>
      <c r="L29" s="19"/>
      <c r="M29" s="19"/>
      <c r="N29" s="19"/>
      <c r="O29" s="19"/>
      <c r="P29" s="19"/>
      <c r="Q29" s="18"/>
      <c r="V29" s="30"/>
      <c r="W29" s="30"/>
      <c r="AJ29" s="82"/>
      <c r="AK29" s="83"/>
      <c r="AL29" s="83"/>
      <c r="AM29" s="83"/>
      <c r="AN29" s="83"/>
      <c r="AO29" s="83"/>
      <c r="AP29" s="84"/>
    </row>
    <row r="30" spans="1:42" ht="15" customHeight="1" x14ac:dyDescent="0.3">
      <c r="B30" s="70"/>
      <c r="C30" s="77"/>
      <c r="D30" s="77"/>
      <c r="E30" s="77"/>
      <c r="F30" s="71"/>
      <c r="G30" s="54" t="s">
        <v>157</v>
      </c>
      <c r="H30" s="55"/>
      <c r="K30" s="19"/>
      <c r="L30" s="19"/>
      <c r="M30" s="19"/>
      <c r="N30" s="19"/>
      <c r="O30" s="19"/>
      <c r="P30" s="19"/>
      <c r="Q30" s="18"/>
      <c r="V30" s="30"/>
      <c r="W30" s="30"/>
      <c r="AJ30" s="82"/>
      <c r="AK30" s="83"/>
      <c r="AL30" s="83"/>
      <c r="AM30" s="83"/>
      <c r="AN30" s="83"/>
      <c r="AO30" s="83"/>
      <c r="AP30" s="84"/>
    </row>
    <row r="31" spans="1:42" ht="15" customHeight="1" x14ac:dyDescent="0.3">
      <c r="B31" s="70"/>
      <c r="C31" s="77"/>
      <c r="D31" s="77"/>
      <c r="E31" s="77"/>
      <c r="F31" s="71"/>
      <c r="G31" s="54" t="s">
        <v>158</v>
      </c>
      <c r="H31" s="55"/>
      <c r="K31" s="19"/>
      <c r="L31" s="19"/>
      <c r="M31" s="19"/>
      <c r="N31" s="19"/>
      <c r="O31" s="19"/>
      <c r="P31" s="19"/>
      <c r="Q31" s="18"/>
      <c r="V31" s="30"/>
      <c r="W31" s="30"/>
      <c r="AJ31" s="85"/>
      <c r="AK31" s="86"/>
      <c r="AL31" s="86"/>
      <c r="AM31" s="86"/>
      <c r="AN31" s="86"/>
      <c r="AO31" s="86"/>
      <c r="AP31" s="87"/>
    </row>
    <row r="32" spans="1:42" ht="16.8" customHeight="1" x14ac:dyDescent="0.3">
      <c r="B32" s="70"/>
      <c r="C32" s="77"/>
      <c r="D32" s="77"/>
      <c r="E32" s="77"/>
      <c r="F32" s="71"/>
      <c r="G32" s="54" t="s">
        <v>159</v>
      </c>
      <c r="H32" s="5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30"/>
      <c r="W32" s="30"/>
      <c r="AJ32" s="76"/>
      <c r="AK32" s="76"/>
      <c r="AL32" s="76"/>
      <c r="AM32" s="76"/>
      <c r="AN32" s="45"/>
      <c r="AO32" s="45"/>
      <c r="AP32" s="45"/>
    </row>
    <row r="33" spans="2:42" ht="14.4" customHeight="1" x14ac:dyDescent="0.3">
      <c r="B33" s="70"/>
      <c r="C33" s="77"/>
      <c r="D33" s="77"/>
      <c r="E33" s="77"/>
      <c r="F33" s="71"/>
      <c r="G33" s="54" t="s">
        <v>160</v>
      </c>
      <c r="H33" s="55"/>
      <c r="K33" s="45"/>
      <c r="V33" s="30"/>
      <c r="W33" s="30"/>
      <c r="AJ33" s="45"/>
      <c r="AK33" s="45"/>
      <c r="AL33" s="45"/>
      <c r="AM33" s="45"/>
      <c r="AN33" s="17" t="s">
        <v>5</v>
      </c>
      <c r="AO33" s="40"/>
      <c r="AP33"/>
    </row>
    <row r="34" spans="2:42" x14ac:dyDescent="0.3">
      <c r="B34" s="70"/>
      <c r="C34" s="77"/>
      <c r="D34" s="77"/>
      <c r="E34" s="77"/>
      <c r="F34" s="71"/>
      <c r="G34" s="54" t="s">
        <v>161</v>
      </c>
      <c r="H34" s="55"/>
      <c r="K34" s="45"/>
      <c r="V34" s="30"/>
      <c r="W34" s="30"/>
      <c r="AJ34" s="45"/>
      <c r="AK34" s="45"/>
      <c r="AL34" s="45"/>
      <c r="AM34" s="45"/>
      <c r="AN34" s="17" t="s">
        <v>6</v>
      </c>
      <c r="AO34" s="39"/>
    </row>
    <row r="35" spans="2:42" x14ac:dyDescent="0.3">
      <c r="B35" s="72"/>
      <c r="C35" s="73"/>
      <c r="D35" s="73"/>
      <c r="E35" s="73"/>
      <c r="F35" s="74"/>
      <c r="G35" s="54" t="s">
        <v>162</v>
      </c>
      <c r="H35" s="55"/>
      <c r="K35" s="45"/>
      <c r="V35" s="30"/>
      <c r="AJ35" s="45"/>
      <c r="AK35" s="45"/>
      <c r="AL35" s="45"/>
      <c r="AM35" s="45"/>
      <c r="AN35" s="17" t="s">
        <v>7</v>
      </c>
      <c r="AO35" s="39"/>
    </row>
    <row r="36" spans="2:42" x14ac:dyDescent="0.3">
      <c r="K36" s="45"/>
      <c r="V36" s="30"/>
      <c r="AJ36" s="45"/>
      <c r="AK36" s="45"/>
      <c r="AL36" s="45"/>
      <c r="AM36" s="45"/>
      <c r="AN36" s="17" t="s">
        <v>8</v>
      </c>
      <c r="AO36" s="39"/>
    </row>
    <row r="37" spans="2:42" x14ac:dyDescent="0.3">
      <c r="B37" s="47" t="s">
        <v>151</v>
      </c>
      <c r="C37" s="47"/>
      <c r="D37" s="47"/>
      <c r="E37" s="48"/>
      <c r="F37" s="48"/>
      <c r="G37" s="48"/>
      <c r="H37" s="48"/>
      <c r="K37" s="45"/>
      <c r="V37" s="30"/>
      <c r="AJ37" s="45"/>
      <c r="AK37" s="45"/>
      <c r="AL37" s="45"/>
      <c r="AM37" s="45"/>
      <c r="AN37" s="17"/>
      <c r="AO37" s="39"/>
    </row>
    <row r="38" spans="2:42" x14ac:dyDescent="0.3">
      <c r="B38" s="49" t="s">
        <v>279</v>
      </c>
      <c r="C38" s="69" t="str">
        <f>C7&amp;LEFT(D7,1)</f>
        <v/>
      </c>
      <c r="D38" s="50"/>
      <c r="E38" s="50"/>
      <c r="F38" s="51"/>
      <c r="G38" s="52"/>
      <c r="H38" s="53" t="s">
        <v>153</v>
      </c>
      <c r="K38" s="45"/>
      <c r="V38" s="30"/>
      <c r="AN38" s="17" t="s">
        <v>9</v>
      </c>
      <c r="AO38" s="39"/>
    </row>
    <row r="39" spans="2:42" x14ac:dyDescent="0.3">
      <c r="B39" s="70"/>
      <c r="C39" s="77" t="e">
        <f>_xlfn.XLOOKUP(C38,Shapes!$B$5:$B$34,Shapes!$S$5:$S$34)</f>
        <v>#N/A</v>
      </c>
      <c r="D39" s="77"/>
      <c r="E39" s="77"/>
      <c r="F39" s="71"/>
      <c r="G39" s="54" t="s">
        <v>154</v>
      </c>
      <c r="H39" s="55"/>
      <c r="V39" s="30"/>
      <c r="AN39" s="18"/>
      <c r="AO39" s="39"/>
    </row>
    <row r="40" spans="2:42" x14ac:dyDescent="0.3">
      <c r="B40" s="70"/>
      <c r="C40" s="77"/>
      <c r="D40" s="77"/>
      <c r="E40" s="77"/>
      <c r="F40" s="71"/>
      <c r="G40" s="54" t="s">
        <v>155</v>
      </c>
      <c r="H40" s="55"/>
    </row>
    <row r="41" spans="2:42" x14ac:dyDescent="0.3">
      <c r="B41" s="70"/>
      <c r="C41" s="77"/>
      <c r="D41" s="77"/>
      <c r="E41" s="77"/>
      <c r="F41" s="71"/>
      <c r="G41" s="54" t="s">
        <v>156</v>
      </c>
      <c r="H41" s="55"/>
    </row>
    <row r="42" spans="2:42" x14ac:dyDescent="0.3">
      <c r="B42" s="70"/>
      <c r="C42" s="77"/>
      <c r="D42" s="77"/>
      <c r="E42" s="77"/>
      <c r="F42" s="71"/>
      <c r="G42" s="54" t="s">
        <v>157</v>
      </c>
      <c r="H42" s="55"/>
    </row>
    <row r="43" spans="2:42" x14ac:dyDescent="0.3">
      <c r="B43" s="70"/>
      <c r="C43" s="77"/>
      <c r="D43" s="77"/>
      <c r="E43" s="77"/>
      <c r="F43" s="71"/>
      <c r="G43" s="54" t="s">
        <v>158</v>
      </c>
      <c r="H43" s="55"/>
    </row>
    <row r="44" spans="2:42" x14ac:dyDescent="0.3">
      <c r="B44" s="70"/>
      <c r="C44" s="77"/>
      <c r="D44" s="77"/>
      <c r="E44" s="77"/>
      <c r="F44" s="71"/>
      <c r="G44" s="54" t="s">
        <v>159</v>
      </c>
      <c r="H44" s="55"/>
    </row>
    <row r="45" spans="2:42" x14ac:dyDescent="0.3">
      <c r="B45" s="70"/>
      <c r="C45" s="77"/>
      <c r="D45" s="77"/>
      <c r="E45" s="77"/>
      <c r="F45" s="71"/>
      <c r="G45" s="54" t="s">
        <v>160</v>
      </c>
      <c r="H45" s="55"/>
    </row>
    <row r="46" spans="2:42" x14ac:dyDescent="0.3">
      <c r="B46" s="70"/>
      <c r="C46" s="77"/>
      <c r="D46" s="77"/>
      <c r="E46" s="77"/>
      <c r="F46" s="71"/>
      <c r="G46" s="54" t="s">
        <v>161</v>
      </c>
      <c r="H46" s="55"/>
    </row>
    <row r="47" spans="2:42" x14ac:dyDescent="0.3">
      <c r="B47" s="72"/>
      <c r="C47" s="73"/>
      <c r="D47" s="73"/>
      <c r="E47" s="73"/>
      <c r="F47" s="74"/>
      <c r="G47" s="54" t="s">
        <v>162</v>
      </c>
      <c r="H47" s="55"/>
    </row>
    <row r="49" spans="2:8" x14ac:dyDescent="0.3">
      <c r="B49" s="47" t="s">
        <v>151</v>
      </c>
      <c r="C49" s="47"/>
      <c r="D49" s="47"/>
      <c r="E49" s="48"/>
      <c r="F49" s="48"/>
      <c r="G49" s="48"/>
      <c r="H49" s="48"/>
    </row>
    <row r="50" spans="2:8" x14ac:dyDescent="0.3">
      <c r="B50" s="49" t="s">
        <v>280</v>
      </c>
      <c r="C50" s="69" t="str">
        <f>C8&amp;LEFT(D8,1)</f>
        <v/>
      </c>
      <c r="D50" s="50"/>
      <c r="E50" s="50"/>
      <c r="F50" s="51"/>
      <c r="G50" s="52"/>
      <c r="H50" s="53" t="s">
        <v>153</v>
      </c>
    </row>
    <row r="51" spans="2:8" x14ac:dyDescent="0.3">
      <c r="B51" s="70"/>
      <c r="C51" s="77" t="e">
        <f>_xlfn.XLOOKUP(C50,Shapes!$B$5:$B$34,Shapes!$S$5:$S$34)</f>
        <v>#N/A</v>
      </c>
      <c r="D51" s="77"/>
      <c r="E51" s="77"/>
      <c r="F51" s="71"/>
      <c r="G51" s="54" t="s">
        <v>154</v>
      </c>
      <c r="H51" s="55"/>
    </row>
    <row r="52" spans="2:8" x14ac:dyDescent="0.3">
      <c r="B52" s="70"/>
      <c r="C52" s="77"/>
      <c r="D52" s="77"/>
      <c r="E52" s="77"/>
      <c r="F52" s="71"/>
      <c r="G52" s="54" t="s">
        <v>155</v>
      </c>
      <c r="H52" s="55"/>
    </row>
    <row r="53" spans="2:8" x14ac:dyDescent="0.3">
      <c r="B53" s="70"/>
      <c r="C53" s="77"/>
      <c r="D53" s="77"/>
      <c r="E53" s="77"/>
      <c r="F53" s="71"/>
      <c r="G53" s="54" t="s">
        <v>156</v>
      </c>
      <c r="H53" s="55"/>
    </row>
    <row r="54" spans="2:8" x14ac:dyDescent="0.3">
      <c r="B54" s="70"/>
      <c r="C54" s="77"/>
      <c r="D54" s="77"/>
      <c r="E54" s="77"/>
      <c r="F54" s="71"/>
      <c r="G54" s="54" t="s">
        <v>157</v>
      </c>
      <c r="H54" s="55"/>
    </row>
    <row r="55" spans="2:8" x14ac:dyDescent="0.3">
      <c r="B55" s="70"/>
      <c r="C55" s="77"/>
      <c r="D55" s="77"/>
      <c r="E55" s="77"/>
      <c r="F55" s="71"/>
      <c r="G55" s="54" t="s">
        <v>158</v>
      </c>
      <c r="H55" s="55"/>
    </row>
    <row r="56" spans="2:8" x14ac:dyDescent="0.3">
      <c r="B56" s="70"/>
      <c r="C56" s="77"/>
      <c r="D56" s="77"/>
      <c r="E56" s="77"/>
      <c r="F56" s="71"/>
      <c r="G56" s="54" t="s">
        <v>159</v>
      </c>
      <c r="H56" s="55"/>
    </row>
    <row r="57" spans="2:8" x14ac:dyDescent="0.3">
      <c r="B57" s="70"/>
      <c r="C57" s="77"/>
      <c r="D57" s="77"/>
      <c r="E57" s="77"/>
      <c r="F57" s="71"/>
      <c r="G57" s="54" t="s">
        <v>160</v>
      </c>
      <c r="H57" s="55"/>
    </row>
    <row r="58" spans="2:8" x14ac:dyDescent="0.3">
      <c r="B58" s="70"/>
      <c r="C58" s="77"/>
      <c r="D58" s="77"/>
      <c r="E58" s="77"/>
      <c r="F58" s="71"/>
      <c r="G58" s="54" t="s">
        <v>161</v>
      </c>
      <c r="H58" s="55"/>
    </row>
    <row r="59" spans="2:8" x14ac:dyDescent="0.3">
      <c r="B59" s="72"/>
      <c r="C59" s="73"/>
      <c r="D59" s="73"/>
      <c r="E59" s="73"/>
      <c r="F59" s="74"/>
      <c r="G59" s="54" t="s">
        <v>162</v>
      </c>
      <c r="H59" s="55"/>
    </row>
    <row r="61" spans="2:8" x14ac:dyDescent="0.3">
      <c r="B61" s="47" t="s">
        <v>151</v>
      </c>
      <c r="C61" s="47"/>
      <c r="D61" s="47"/>
      <c r="E61" s="48"/>
      <c r="F61" s="48"/>
      <c r="G61" s="48"/>
      <c r="H61" s="48"/>
    </row>
    <row r="62" spans="2:8" x14ac:dyDescent="0.3">
      <c r="B62" s="49" t="s">
        <v>281</v>
      </c>
      <c r="C62" s="69" t="str">
        <f>C9&amp;LEFT(D9,1)</f>
        <v/>
      </c>
      <c r="D62" s="50"/>
      <c r="E62" s="50"/>
      <c r="F62" s="51"/>
      <c r="G62" s="52"/>
      <c r="H62" s="53" t="s">
        <v>153</v>
      </c>
    </row>
    <row r="63" spans="2:8" x14ac:dyDescent="0.3">
      <c r="B63" s="70"/>
      <c r="C63" s="77" t="e">
        <f>_xlfn.XLOOKUP(C62,Shapes!$B$5:$B$34,Shapes!$S$5:$S$34)</f>
        <v>#N/A</v>
      </c>
      <c r="D63" s="77"/>
      <c r="E63" s="77"/>
      <c r="F63" s="71"/>
      <c r="G63" s="54" t="s">
        <v>154</v>
      </c>
      <c r="H63" s="55"/>
    </row>
    <row r="64" spans="2:8" x14ac:dyDescent="0.3">
      <c r="B64" s="70"/>
      <c r="C64" s="77"/>
      <c r="D64" s="77"/>
      <c r="E64" s="77"/>
      <c r="F64" s="71"/>
      <c r="G64" s="54" t="s">
        <v>155</v>
      </c>
      <c r="H64" s="55"/>
    </row>
    <row r="65" spans="2:8" x14ac:dyDescent="0.3">
      <c r="B65" s="70"/>
      <c r="C65" s="77"/>
      <c r="D65" s="77"/>
      <c r="E65" s="77"/>
      <c r="F65" s="71"/>
      <c r="G65" s="54" t="s">
        <v>156</v>
      </c>
      <c r="H65" s="55"/>
    </row>
    <row r="66" spans="2:8" x14ac:dyDescent="0.3">
      <c r="B66" s="70"/>
      <c r="C66" s="77"/>
      <c r="D66" s="77"/>
      <c r="E66" s="77"/>
      <c r="F66" s="71"/>
      <c r="G66" s="54" t="s">
        <v>157</v>
      </c>
      <c r="H66" s="55"/>
    </row>
    <row r="67" spans="2:8" x14ac:dyDescent="0.3">
      <c r="B67" s="70"/>
      <c r="C67" s="77"/>
      <c r="D67" s="77"/>
      <c r="E67" s="77"/>
      <c r="F67" s="71"/>
      <c r="G67" s="54" t="s">
        <v>158</v>
      </c>
      <c r="H67" s="55"/>
    </row>
    <row r="68" spans="2:8" x14ac:dyDescent="0.3">
      <c r="B68" s="70"/>
      <c r="C68" s="77"/>
      <c r="D68" s="77"/>
      <c r="E68" s="77"/>
      <c r="F68" s="71"/>
      <c r="G68" s="54" t="s">
        <v>159</v>
      </c>
      <c r="H68" s="55"/>
    </row>
    <row r="69" spans="2:8" x14ac:dyDescent="0.3">
      <c r="B69" s="70"/>
      <c r="C69" s="77"/>
      <c r="D69" s="77"/>
      <c r="E69" s="77"/>
      <c r="F69" s="71"/>
      <c r="G69" s="54" t="s">
        <v>160</v>
      </c>
      <c r="H69" s="55"/>
    </row>
    <row r="70" spans="2:8" x14ac:dyDescent="0.3">
      <c r="B70" s="70"/>
      <c r="C70" s="77"/>
      <c r="D70" s="77"/>
      <c r="E70" s="77"/>
      <c r="F70" s="71"/>
      <c r="G70" s="54" t="s">
        <v>161</v>
      </c>
      <c r="H70" s="55"/>
    </row>
    <row r="71" spans="2:8" x14ac:dyDescent="0.3">
      <c r="B71" s="72"/>
      <c r="C71" s="73"/>
      <c r="D71" s="73"/>
      <c r="E71" s="73"/>
      <c r="F71" s="74"/>
      <c r="G71" s="54" t="s">
        <v>162</v>
      </c>
      <c r="H71" s="55"/>
    </row>
    <row r="73" spans="2:8" x14ac:dyDescent="0.3">
      <c r="B73" s="47" t="s">
        <v>151</v>
      </c>
      <c r="C73" s="47"/>
      <c r="D73" s="47"/>
      <c r="E73" s="48"/>
      <c r="F73" s="48"/>
      <c r="G73" s="48"/>
      <c r="H73" s="48"/>
    </row>
    <row r="74" spans="2:8" x14ac:dyDescent="0.3">
      <c r="B74" s="49" t="s">
        <v>282</v>
      </c>
      <c r="C74" s="69" t="str">
        <f>C10&amp;LEFT(D10,1)</f>
        <v/>
      </c>
      <c r="D74" s="50"/>
      <c r="E74" s="50"/>
      <c r="F74" s="51"/>
      <c r="G74" s="52"/>
      <c r="H74" s="53" t="s">
        <v>153</v>
      </c>
    </row>
    <row r="75" spans="2:8" x14ac:dyDescent="0.3">
      <c r="B75" s="70"/>
      <c r="C75" s="77" t="e">
        <f>_xlfn.XLOOKUP(C74,Shapes!$B$5:$B$34,Shapes!$S$5:$S$34)</f>
        <v>#N/A</v>
      </c>
      <c r="D75" s="77"/>
      <c r="E75" s="77"/>
      <c r="F75" s="71"/>
      <c r="G75" s="54" t="s">
        <v>154</v>
      </c>
      <c r="H75" s="55"/>
    </row>
    <row r="76" spans="2:8" x14ac:dyDescent="0.3">
      <c r="B76" s="70"/>
      <c r="C76" s="77"/>
      <c r="D76" s="77"/>
      <c r="E76" s="77"/>
      <c r="F76" s="71"/>
      <c r="G76" s="54" t="s">
        <v>155</v>
      </c>
      <c r="H76" s="55"/>
    </row>
    <row r="77" spans="2:8" x14ac:dyDescent="0.3">
      <c r="B77" s="70"/>
      <c r="C77" s="77"/>
      <c r="D77" s="77"/>
      <c r="E77" s="77"/>
      <c r="F77" s="71"/>
      <c r="G77" s="54" t="s">
        <v>156</v>
      </c>
      <c r="H77" s="55"/>
    </row>
    <row r="78" spans="2:8" x14ac:dyDescent="0.3">
      <c r="B78" s="70"/>
      <c r="C78" s="77"/>
      <c r="D78" s="77"/>
      <c r="E78" s="77"/>
      <c r="F78" s="71"/>
      <c r="G78" s="54" t="s">
        <v>157</v>
      </c>
      <c r="H78" s="55"/>
    </row>
    <row r="79" spans="2:8" x14ac:dyDescent="0.3">
      <c r="B79" s="70"/>
      <c r="C79" s="77"/>
      <c r="D79" s="77"/>
      <c r="E79" s="77"/>
      <c r="F79" s="71"/>
      <c r="G79" s="54" t="s">
        <v>158</v>
      </c>
      <c r="H79" s="55"/>
    </row>
    <row r="80" spans="2:8" x14ac:dyDescent="0.3">
      <c r="B80" s="70"/>
      <c r="C80" s="77"/>
      <c r="D80" s="77"/>
      <c r="E80" s="77"/>
      <c r="F80" s="71"/>
      <c r="G80" s="54" t="s">
        <v>159</v>
      </c>
      <c r="H80" s="55"/>
    </row>
    <row r="81" spans="2:8" x14ac:dyDescent="0.3">
      <c r="B81" s="70"/>
      <c r="C81" s="77"/>
      <c r="D81" s="77"/>
      <c r="E81" s="77"/>
      <c r="F81" s="71"/>
      <c r="G81" s="54" t="s">
        <v>160</v>
      </c>
      <c r="H81" s="55"/>
    </row>
    <row r="82" spans="2:8" x14ac:dyDescent="0.3">
      <c r="B82" s="70"/>
      <c r="C82" s="77"/>
      <c r="D82" s="77"/>
      <c r="E82" s="77"/>
      <c r="F82" s="71"/>
      <c r="G82" s="54" t="s">
        <v>161</v>
      </c>
      <c r="H82" s="55"/>
    </row>
    <row r="83" spans="2:8" x14ac:dyDescent="0.3">
      <c r="B83" s="72"/>
      <c r="C83" s="73"/>
      <c r="D83" s="73"/>
      <c r="E83" s="73"/>
      <c r="F83" s="74"/>
      <c r="G83" s="54" t="s">
        <v>162</v>
      </c>
      <c r="H83" s="55"/>
    </row>
    <row r="85" spans="2:8" x14ac:dyDescent="0.3">
      <c r="B85" s="47" t="s">
        <v>151</v>
      </c>
      <c r="C85" s="47"/>
      <c r="D85" s="47"/>
      <c r="E85" s="48"/>
      <c r="F85" s="48"/>
      <c r="G85" s="48"/>
      <c r="H85" s="48"/>
    </row>
    <row r="86" spans="2:8" x14ac:dyDescent="0.3">
      <c r="B86" s="49" t="s">
        <v>283</v>
      </c>
      <c r="C86" s="69" t="str">
        <f>C11&amp;LEFT(D11,1)</f>
        <v/>
      </c>
      <c r="D86" s="50"/>
      <c r="E86" s="50"/>
      <c r="F86" s="51"/>
      <c r="G86" s="52"/>
      <c r="H86" s="53" t="s">
        <v>153</v>
      </c>
    </row>
    <row r="87" spans="2:8" x14ac:dyDescent="0.3">
      <c r="B87" s="70"/>
      <c r="C87" s="77" t="e">
        <f>_xlfn.XLOOKUP(C86,Shapes!$B$5:$B$34,Shapes!$S$5:$S$34)</f>
        <v>#N/A</v>
      </c>
      <c r="D87" s="77"/>
      <c r="E87" s="77"/>
      <c r="F87" s="71"/>
      <c r="G87" s="54" t="s">
        <v>154</v>
      </c>
      <c r="H87" s="55"/>
    </row>
    <row r="88" spans="2:8" x14ac:dyDescent="0.3">
      <c r="B88" s="70"/>
      <c r="C88" s="77"/>
      <c r="D88" s="77"/>
      <c r="E88" s="77"/>
      <c r="F88" s="71"/>
      <c r="G88" s="54" t="s">
        <v>155</v>
      </c>
      <c r="H88" s="55"/>
    </row>
    <row r="89" spans="2:8" x14ac:dyDescent="0.3">
      <c r="B89" s="70"/>
      <c r="C89" s="77"/>
      <c r="D89" s="77"/>
      <c r="E89" s="77"/>
      <c r="F89" s="71"/>
      <c r="G89" s="54" t="s">
        <v>156</v>
      </c>
      <c r="H89" s="55"/>
    </row>
    <row r="90" spans="2:8" x14ac:dyDescent="0.3">
      <c r="B90" s="70"/>
      <c r="C90" s="77"/>
      <c r="D90" s="77"/>
      <c r="E90" s="77"/>
      <c r="F90" s="71"/>
      <c r="G90" s="54" t="s">
        <v>157</v>
      </c>
      <c r="H90" s="55"/>
    </row>
    <row r="91" spans="2:8" x14ac:dyDescent="0.3">
      <c r="B91" s="70"/>
      <c r="C91" s="77"/>
      <c r="D91" s="77"/>
      <c r="E91" s="77"/>
      <c r="F91" s="71"/>
      <c r="G91" s="54" t="s">
        <v>158</v>
      </c>
      <c r="H91" s="55"/>
    </row>
    <row r="92" spans="2:8" x14ac:dyDescent="0.3">
      <c r="B92" s="70"/>
      <c r="C92" s="77"/>
      <c r="D92" s="77"/>
      <c r="E92" s="77"/>
      <c r="F92" s="71"/>
      <c r="G92" s="54" t="s">
        <v>159</v>
      </c>
      <c r="H92" s="55"/>
    </row>
    <row r="93" spans="2:8" x14ac:dyDescent="0.3">
      <c r="B93" s="70"/>
      <c r="C93" s="77"/>
      <c r="D93" s="77"/>
      <c r="E93" s="77"/>
      <c r="F93" s="71"/>
      <c r="G93" s="54" t="s">
        <v>160</v>
      </c>
      <c r="H93" s="55"/>
    </row>
    <row r="94" spans="2:8" x14ac:dyDescent="0.3">
      <c r="B94" s="70"/>
      <c r="C94" s="77"/>
      <c r="D94" s="77"/>
      <c r="E94" s="77"/>
      <c r="F94" s="71"/>
      <c r="G94" s="54" t="s">
        <v>161</v>
      </c>
      <c r="H94" s="55"/>
    </row>
    <row r="95" spans="2:8" x14ac:dyDescent="0.3">
      <c r="B95" s="72"/>
      <c r="C95" s="73"/>
      <c r="D95" s="73"/>
      <c r="E95" s="73"/>
      <c r="F95" s="74"/>
      <c r="G95" s="54" t="s">
        <v>162</v>
      </c>
      <c r="H95" s="55"/>
    </row>
    <row r="97" spans="2:8" x14ac:dyDescent="0.3">
      <c r="B97" s="47" t="s">
        <v>151</v>
      </c>
      <c r="C97" s="47"/>
      <c r="D97" s="47"/>
      <c r="E97" s="48"/>
      <c r="F97" s="48"/>
      <c r="G97" s="48"/>
      <c r="H97" s="48"/>
    </row>
    <row r="98" spans="2:8" x14ac:dyDescent="0.3">
      <c r="B98" s="49" t="s">
        <v>284</v>
      </c>
      <c r="C98" s="69" t="str">
        <f>C12&amp;LEFT(D12,1)</f>
        <v/>
      </c>
      <c r="D98" s="50"/>
      <c r="E98" s="50"/>
      <c r="F98" s="51"/>
      <c r="G98" s="52"/>
      <c r="H98" s="53" t="s">
        <v>153</v>
      </c>
    </row>
    <row r="99" spans="2:8" x14ac:dyDescent="0.3">
      <c r="B99" s="70"/>
      <c r="C99" s="77" t="e">
        <f>_xlfn.XLOOKUP(C98,Shapes!$B$5:$B$34,Shapes!$S$5:$S$34)</f>
        <v>#N/A</v>
      </c>
      <c r="D99" s="77"/>
      <c r="E99" s="77"/>
      <c r="F99" s="71"/>
      <c r="G99" s="54" t="s">
        <v>154</v>
      </c>
      <c r="H99" s="55"/>
    </row>
    <row r="100" spans="2:8" x14ac:dyDescent="0.3">
      <c r="B100" s="70"/>
      <c r="C100" s="77"/>
      <c r="D100" s="77"/>
      <c r="E100" s="77"/>
      <c r="F100" s="71"/>
      <c r="G100" s="54" t="s">
        <v>155</v>
      </c>
      <c r="H100" s="55"/>
    </row>
    <row r="101" spans="2:8" x14ac:dyDescent="0.3">
      <c r="B101" s="70"/>
      <c r="C101" s="77"/>
      <c r="D101" s="77"/>
      <c r="E101" s="77"/>
      <c r="F101" s="71"/>
      <c r="G101" s="54" t="s">
        <v>156</v>
      </c>
      <c r="H101" s="55"/>
    </row>
    <row r="102" spans="2:8" x14ac:dyDescent="0.3">
      <c r="B102" s="70"/>
      <c r="C102" s="77"/>
      <c r="D102" s="77"/>
      <c r="E102" s="77"/>
      <c r="F102" s="71"/>
      <c r="G102" s="54" t="s">
        <v>157</v>
      </c>
      <c r="H102" s="55"/>
    </row>
    <row r="103" spans="2:8" x14ac:dyDescent="0.3">
      <c r="B103" s="70"/>
      <c r="C103" s="77"/>
      <c r="D103" s="77"/>
      <c r="E103" s="77"/>
      <c r="F103" s="71"/>
      <c r="G103" s="54" t="s">
        <v>158</v>
      </c>
      <c r="H103" s="55"/>
    </row>
    <row r="104" spans="2:8" x14ac:dyDescent="0.3">
      <c r="B104" s="70"/>
      <c r="C104" s="77"/>
      <c r="D104" s="77"/>
      <c r="E104" s="77"/>
      <c r="F104" s="71"/>
      <c r="G104" s="54" t="s">
        <v>159</v>
      </c>
      <c r="H104" s="55"/>
    </row>
    <row r="105" spans="2:8" x14ac:dyDescent="0.3">
      <c r="B105" s="70"/>
      <c r="C105" s="77"/>
      <c r="D105" s="77"/>
      <c r="E105" s="77"/>
      <c r="F105" s="71"/>
      <c r="G105" s="54" t="s">
        <v>160</v>
      </c>
      <c r="H105" s="55"/>
    </row>
    <row r="106" spans="2:8" x14ac:dyDescent="0.3">
      <c r="B106" s="70"/>
      <c r="C106" s="77"/>
      <c r="D106" s="77"/>
      <c r="E106" s="77"/>
      <c r="F106" s="71"/>
      <c r="G106" s="54" t="s">
        <v>161</v>
      </c>
      <c r="H106" s="55"/>
    </row>
    <row r="107" spans="2:8" x14ac:dyDescent="0.3">
      <c r="B107" s="72"/>
      <c r="C107" s="73"/>
      <c r="D107" s="73"/>
      <c r="E107" s="73"/>
      <c r="F107" s="74"/>
      <c r="G107" s="54" t="s">
        <v>162</v>
      </c>
      <c r="H107" s="55"/>
    </row>
    <row r="109" spans="2:8" x14ac:dyDescent="0.3">
      <c r="B109" s="47" t="s">
        <v>151</v>
      </c>
      <c r="C109" s="47"/>
      <c r="D109" s="47"/>
      <c r="E109" s="48"/>
      <c r="F109" s="48"/>
      <c r="G109" s="48"/>
      <c r="H109" s="48"/>
    </row>
    <row r="110" spans="2:8" x14ac:dyDescent="0.3">
      <c r="B110" s="49" t="s">
        <v>285</v>
      </c>
      <c r="C110" s="69" t="str">
        <f>C13&amp;LEFT(D13,1)</f>
        <v/>
      </c>
      <c r="D110" s="50"/>
      <c r="E110" s="50"/>
      <c r="F110" s="51"/>
      <c r="G110" s="52"/>
      <c r="H110" s="53" t="s">
        <v>153</v>
      </c>
    </row>
    <row r="111" spans="2:8" x14ac:dyDescent="0.3">
      <c r="B111" s="70"/>
      <c r="C111" s="77" t="e">
        <f>_xlfn.XLOOKUP(C110,Shapes!$B$5:$B$34,Shapes!$S$5:$S$34)</f>
        <v>#N/A</v>
      </c>
      <c r="D111" s="77"/>
      <c r="E111" s="77"/>
      <c r="F111" s="71"/>
      <c r="G111" s="54" t="s">
        <v>154</v>
      </c>
      <c r="H111" s="55"/>
    </row>
    <row r="112" spans="2:8" x14ac:dyDescent="0.3">
      <c r="B112" s="70"/>
      <c r="C112" s="77"/>
      <c r="D112" s="77"/>
      <c r="E112" s="77"/>
      <c r="F112" s="71"/>
      <c r="G112" s="54" t="s">
        <v>155</v>
      </c>
      <c r="H112" s="55"/>
    </row>
    <row r="113" spans="2:8" x14ac:dyDescent="0.3">
      <c r="B113" s="70"/>
      <c r="C113" s="77"/>
      <c r="D113" s="77"/>
      <c r="E113" s="77"/>
      <c r="F113" s="71"/>
      <c r="G113" s="54" t="s">
        <v>156</v>
      </c>
      <c r="H113" s="55"/>
    </row>
    <row r="114" spans="2:8" x14ac:dyDescent="0.3">
      <c r="B114" s="70"/>
      <c r="C114" s="77"/>
      <c r="D114" s="77"/>
      <c r="E114" s="77"/>
      <c r="F114" s="71"/>
      <c r="G114" s="54" t="s">
        <v>157</v>
      </c>
      <c r="H114" s="55"/>
    </row>
    <row r="115" spans="2:8" x14ac:dyDescent="0.3">
      <c r="B115" s="70"/>
      <c r="C115" s="77"/>
      <c r="D115" s="77"/>
      <c r="E115" s="77"/>
      <c r="F115" s="71"/>
      <c r="G115" s="54" t="s">
        <v>158</v>
      </c>
      <c r="H115" s="55"/>
    </row>
    <row r="116" spans="2:8" x14ac:dyDescent="0.3">
      <c r="B116" s="70"/>
      <c r="C116" s="77"/>
      <c r="D116" s="77"/>
      <c r="E116" s="77"/>
      <c r="F116" s="71"/>
      <c r="G116" s="54" t="s">
        <v>159</v>
      </c>
      <c r="H116" s="55"/>
    </row>
    <row r="117" spans="2:8" x14ac:dyDescent="0.3">
      <c r="B117" s="70"/>
      <c r="C117" s="77"/>
      <c r="D117" s="77"/>
      <c r="E117" s="77"/>
      <c r="F117" s="71"/>
      <c r="G117" s="54" t="s">
        <v>160</v>
      </c>
      <c r="H117" s="55"/>
    </row>
    <row r="118" spans="2:8" x14ac:dyDescent="0.3">
      <c r="B118" s="70"/>
      <c r="C118" s="77"/>
      <c r="D118" s="77"/>
      <c r="E118" s="77"/>
      <c r="F118" s="71"/>
      <c r="G118" s="54" t="s">
        <v>161</v>
      </c>
      <c r="H118" s="55"/>
    </row>
    <row r="119" spans="2:8" x14ac:dyDescent="0.3">
      <c r="B119" s="72"/>
      <c r="C119" s="73"/>
      <c r="D119" s="73"/>
      <c r="E119" s="73"/>
      <c r="F119" s="74"/>
      <c r="G119" s="54" t="s">
        <v>162</v>
      </c>
      <c r="H119" s="55"/>
    </row>
    <row r="121" spans="2:8" x14ac:dyDescent="0.3">
      <c r="B121" s="47" t="s">
        <v>151</v>
      </c>
      <c r="C121" s="47"/>
      <c r="D121" s="47"/>
      <c r="E121" s="48"/>
      <c r="F121" s="48"/>
      <c r="G121" s="48"/>
      <c r="H121" s="48"/>
    </row>
    <row r="122" spans="2:8" x14ac:dyDescent="0.3">
      <c r="B122" s="49" t="s">
        <v>286</v>
      </c>
      <c r="C122" s="69" t="str">
        <f>C14&amp;LEFT(D14,1)</f>
        <v/>
      </c>
      <c r="D122" s="50"/>
      <c r="E122" s="50"/>
      <c r="F122" s="51"/>
      <c r="G122" s="52"/>
      <c r="H122" s="53" t="s">
        <v>153</v>
      </c>
    </row>
    <row r="123" spans="2:8" x14ac:dyDescent="0.3">
      <c r="B123" s="70"/>
      <c r="C123" s="77" t="e">
        <f>_xlfn.XLOOKUP(C122,Shapes!$B$5:$B$34,Shapes!$S$5:$S$34)</f>
        <v>#N/A</v>
      </c>
      <c r="D123" s="77"/>
      <c r="E123" s="77"/>
      <c r="F123" s="71"/>
      <c r="G123" s="54" t="s">
        <v>154</v>
      </c>
      <c r="H123" s="55"/>
    </row>
    <row r="124" spans="2:8" x14ac:dyDescent="0.3">
      <c r="B124" s="70"/>
      <c r="C124" s="77"/>
      <c r="D124" s="77"/>
      <c r="E124" s="77"/>
      <c r="F124" s="71"/>
      <c r="G124" s="54" t="s">
        <v>155</v>
      </c>
      <c r="H124" s="55"/>
    </row>
    <row r="125" spans="2:8" x14ac:dyDescent="0.3">
      <c r="B125" s="70"/>
      <c r="C125" s="77"/>
      <c r="D125" s="77"/>
      <c r="E125" s="77"/>
      <c r="F125" s="71"/>
      <c r="G125" s="54" t="s">
        <v>156</v>
      </c>
      <c r="H125" s="55"/>
    </row>
    <row r="126" spans="2:8" x14ac:dyDescent="0.3">
      <c r="B126" s="70"/>
      <c r="C126" s="77"/>
      <c r="D126" s="77"/>
      <c r="E126" s="77"/>
      <c r="F126" s="71"/>
      <c r="G126" s="54" t="s">
        <v>157</v>
      </c>
      <c r="H126" s="55"/>
    </row>
    <row r="127" spans="2:8" x14ac:dyDescent="0.3">
      <c r="B127" s="70"/>
      <c r="C127" s="77"/>
      <c r="D127" s="77"/>
      <c r="E127" s="77"/>
      <c r="F127" s="71"/>
      <c r="G127" s="54" t="s">
        <v>158</v>
      </c>
      <c r="H127" s="55"/>
    </row>
    <row r="128" spans="2:8" x14ac:dyDescent="0.3">
      <c r="B128" s="70"/>
      <c r="C128" s="77"/>
      <c r="D128" s="77"/>
      <c r="E128" s="77"/>
      <c r="F128" s="71"/>
      <c r="G128" s="54" t="s">
        <v>159</v>
      </c>
      <c r="H128" s="55"/>
    </row>
    <row r="129" spans="2:8" x14ac:dyDescent="0.3">
      <c r="B129" s="70"/>
      <c r="C129" s="77"/>
      <c r="D129" s="77"/>
      <c r="E129" s="77"/>
      <c r="F129" s="71"/>
      <c r="G129" s="54" t="s">
        <v>160</v>
      </c>
      <c r="H129" s="55"/>
    </row>
    <row r="130" spans="2:8" x14ac:dyDescent="0.3">
      <c r="B130" s="70"/>
      <c r="C130" s="77"/>
      <c r="D130" s="77"/>
      <c r="E130" s="77"/>
      <c r="F130" s="71"/>
      <c r="G130" s="54" t="s">
        <v>161</v>
      </c>
      <c r="H130" s="55"/>
    </row>
    <row r="131" spans="2:8" x14ac:dyDescent="0.3">
      <c r="B131" s="72"/>
      <c r="C131" s="73"/>
      <c r="D131" s="73"/>
      <c r="E131" s="73"/>
      <c r="F131" s="74"/>
      <c r="G131" s="54" t="s">
        <v>162</v>
      </c>
      <c r="H131" s="55"/>
    </row>
    <row r="133" spans="2:8" x14ac:dyDescent="0.3">
      <c r="B133" s="47" t="s">
        <v>151</v>
      </c>
      <c r="C133" s="47"/>
      <c r="D133" s="47"/>
      <c r="E133" s="48"/>
      <c r="F133" s="48"/>
      <c r="G133" s="48"/>
      <c r="H133" s="48"/>
    </row>
    <row r="134" spans="2:8" x14ac:dyDescent="0.3">
      <c r="B134" s="49" t="s">
        <v>287</v>
      </c>
      <c r="C134" s="69" t="str">
        <f>C15&amp;LEFT(D15,1)</f>
        <v/>
      </c>
      <c r="D134" s="50"/>
      <c r="E134" s="50"/>
      <c r="F134" s="51"/>
      <c r="G134" s="52"/>
      <c r="H134" s="53" t="s">
        <v>153</v>
      </c>
    </row>
    <row r="135" spans="2:8" x14ac:dyDescent="0.3">
      <c r="B135" s="70"/>
      <c r="C135" s="77" t="e">
        <f>_xlfn.XLOOKUP(C134,Shapes!$B$5:$B$34,Shapes!$S$5:$S$34)</f>
        <v>#N/A</v>
      </c>
      <c r="D135" s="77"/>
      <c r="E135" s="77"/>
      <c r="F135" s="71"/>
      <c r="G135" s="54" t="s">
        <v>154</v>
      </c>
      <c r="H135" s="55"/>
    </row>
    <row r="136" spans="2:8" x14ac:dyDescent="0.3">
      <c r="B136" s="70"/>
      <c r="C136" s="77"/>
      <c r="D136" s="77"/>
      <c r="E136" s="77"/>
      <c r="F136" s="71"/>
      <c r="G136" s="54" t="s">
        <v>155</v>
      </c>
      <c r="H136" s="55"/>
    </row>
    <row r="137" spans="2:8" x14ac:dyDescent="0.3">
      <c r="B137" s="70"/>
      <c r="C137" s="77"/>
      <c r="D137" s="77"/>
      <c r="E137" s="77"/>
      <c r="F137" s="71"/>
      <c r="G137" s="54" t="s">
        <v>156</v>
      </c>
      <c r="H137" s="55"/>
    </row>
    <row r="138" spans="2:8" x14ac:dyDescent="0.3">
      <c r="B138" s="70"/>
      <c r="C138" s="77"/>
      <c r="D138" s="77"/>
      <c r="E138" s="77"/>
      <c r="F138" s="71"/>
      <c r="G138" s="54" t="s">
        <v>157</v>
      </c>
      <c r="H138" s="55"/>
    </row>
    <row r="139" spans="2:8" x14ac:dyDescent="0.3">
      <c r="B139" s="70"/>
      <c r="C139" s="77"/>
      <c r="D139" s="77"/>
      <c r="E139" s="77"/>
      <c r="F139" s="71"/>
      <c r="G139" s="54" t="s">
        <v>158</v>
      </c>
      <c r="H139" s="55"/>
    </row>
    <row r="140" spans="2:8" x14ac:dyDescent="0.3">
      <c r="B140" s="70"/>
      <c r="C140" s="77"/>
      <c r="D140" s="77"/>
      <c r="E140" s="77"/>
      <c r="F140" s="71"/>
      <c r="G140" s="54" t="s">
        <v>159</v>
      </c>
      <c r="H140" s="55"/>
    </row>
    <row r="141" spans="2:8" x14ac:dyDescent="0.3">
      <c r="B141" s="70"/>
      <c r="C141" s="77"/>
      <c r="D141" s="77"/>
      <c r="E141" s="77"/>
      <c r="F141" s="71"/>
      <c r="G141" s="54" t="s">
        <v>160</v>
      </c>
      <c r="H141" s="55"/>
    </row>
    <row r="142" spans="2:8" x14ac:dyDescent="0.3">
      <c r="B142" s="70"/>
      <c r="C142" s="77"/>
      <c r="D142" s="77"/>
      <c r="E142" s="77"/>
      <c r="F142" s="71"/>
      <c r="G142" s="54" t="s">
        <v>161</v>
      </c>
      <c r="H142" s="55"/>
    </row>
    <row r="143" spans="2:8" x14ac:dyDescent="0.3">
      <c r="B143" s="72"/>
      <c r="C143" s="73"/>
      <c r="D143" s="73"/>
      <c r="E143" s="73"/>
      <c r="F143" s="74"/>
      <c r="G143" s="54" t="s">
        <v>162</v>
      </c>
      <c r="H143" s="55"/>
    </row>
  </sheetData>
  <sheetProtection algorithmName="SHA-512" hashValue="4vCO4I50AX/f65iLsCvjY3PtYuGGzTkMFyNV+g7tF/7eJuNnWHtI8NNayrhPMGrzszgwruheEkZxKeNzeFOo+Q==" saltValue="xM2C6GT+h6SAe7kTs+0FPA==" spinCount="100000" sheet="1" objects="1" scenarios="1"/>
  <mergeCells count="14">
    <mergeCell ref="N3:P3"/>
    <mergeCell ref="N2:P2"/>
    <mergeCell ref="AJ25:AP31"/>
    <mergeCell ref="C39:E46"/>
    <mergeCell ref="E4:F4"/>
    <mergeCell ref="C27:E34"/>
    <mergeCell ref="C111:E118"/>
    <mergeCell ref="C123:E130"/>
    <mergeCell ref="C135:E142"/>
    <mergeCell ref="C51:E58"/>
    <mergeCell ref="C63:E70"/>
    <mergeCell ref="C75:E82"/>
    <mergeCell ref="C87:E94"/>
    <mergeCell ref="C99:E106"/>
  </mergeCells>
  <conditionalFormatting sqref="B27:C27 F27:F34 B28:B34 B35:F35">
    <cfRule type="expression" dxfId="32" priority="19">
      <formula>$E$6="left"</formula>
    </cfRule>
  </conditionalFormatting>
  <conditionalFormatting sqref="B39:C39 F39:F46 B40:B46 B47:F47">
    <cfRule type="expression" dxfId="31" priority="9">
      <formula>$E$6="left"</formula>
    </cfRule>
  </conditionalFormatting>
  <conditionalFormatting sqref="B51:C51 F51:F58 B52:B58 B59:F59">
    <cfRule type="expression" dxfId="30" priority="8">
      <formula>$E$6="left"</formula>
    </cfRule>
  </conditionalFormatting>
  <conditionalFormatting sqref="B63:C63 F63:F70 B64:B70 B71:F71">
    <cfRule type="expression" dxfId="29" priority="7">
      <formula>$E$6="left"</formula>
    </cfRule>
  </conditionalFormatting>
  <conditionalFormatting sqref="B75:C75 F75:F82 B76:B82 B83:F83">
    <cfRule type="expression" dxfId="28" priority="6">
      <formula>$E$6="left"</formula>
    </cfRule>
  </conditionalFormatting>
  <conditionalFormatting sqref="B87:C87 F87:F94 B88:B94 B95:F95">
    <cfRule type="expression" dxfId="27" priority="5">
      <formula>$E$6="left"</formula>
    </cfRule>
  </conditionalFormatting>
  <conditionalFormatting sqref="B99:C99 F99:F106 B100:B106 B107:F107">
    <cfRule type="expression" dxfId="26" priority="4">
      <formula>$E$6="left"</formula>
    </cfRule>
  </conditionalFormatting>
  <conditionalFormatting sqref="B111:C111 F111:F118 B112:B118 B119:F119">
    <cfRule type="expression" dxfId="25" priority="3">
      <formula>$E$6="left"</formula>
    </cfRule>
  </conditionalFormatting>
  <conditionalFormatting sqref="B123:C123 F123:F130 B124:B130 B131:F131">
    <cfRule type="expression" dxfId="24" priority="2">
      <formula>$E$6="left"</formula>
    </cfRule>
  </conditionalFormatting>
  <conditionalFormatting sqref="B135:C135 F135:F142 B136:B142 B143:F143">
    <cfRule type="expression" dxfId="23" priority="1">
      <formula>$E$6="left"</formula>
    </cfRule>
  </conditionalFormatting>
  <conditionalFormatting sqref="M6:M20">
    <cfRule type="expression" dxfId="22" priority="20">
      <formula>OR(LEFT($L6,1)="F",LEFT($L6,1)="R")</formula>
    </cfRule>
  </conditionalFormatting>
  <conditionalFormatting sqref="N6:N20 S21">
    <cfRule type="expression" dxfId="21" priority="25">
      <formula>$I6="AO-DB (0-20°)"</formula>
    </cfRule>
    <cfRule type="expression" dxfId="20" priority="26">
      <formula>$I6="AO-DBE (0-20°)"</formula>
    </cfRule>
    <cfRule type="expression" dxfId="19" priority="27">
      <formula>$I6="AO (0°)"</formula>
    </cfRule>
  </conditionalFormatting>
  <conditionalFormatting sqref="N6:N20">
    <cfRule type="expression" dxfId="18" priority="24">
      <formula>OR(LEFT($L6,3)="Chr",LEFT($L6,3)="Foo")</formula>
    </cfRule>
  </conditionalFormatting>
  <conditionalFormatting sqref="N21">
    <cfRule type="expression" dxfId="17" priority="53">
      <formula>#REF!="Foot Plate"</formula>
    </cfRule>
    <cfRule type="expression" dxfId="16" priority="54">
      <formula>#REF!="Chrome"</formula>
    </cfRule>
  </conditionalFormatting>
  <conditionalFormatting sqref="P6:R20 P21:Q21">
    <cfRule type="expression" dxfId="15" priority="56">
      <formula>$O6="Manual"</formula>
    </cfRule>
  </conditionalFormatting>
  <conditionalFormatting sqref="P6:S20 P21:R21">
    <cfRule type="expression" dxfId="14" priority="58">
      <formula>$O6="Powered"</formula>
    </cfRule>
  </conditionalFormatting>
  <conditionalFormatting sqref="R21">
    <cfRule type="expression" dxfId="13" priority="48">
      <formula>$I21="DBE (20 - 45°)"</formula>
    </cfRule>
    <cfRule type="expression" dxfId="12" priority="49">
      <formula>$I21="PB (61 -120°)"</formula>
    </cfRule>
    <cfRule type="expression" dxfId="11" priority="50">
      <formula>$I21="DB (31 - 60°)"</formula>
    </cfRule>
    <cfRule type="expression" dxfId="10" priority="51">
      <formula>$I21="BB (0 - 30°)"</formula>
    </cfRule>
  </conditionalFormatting>
  <conditionalFormatting sqref="R21:S21">
    <cfRule type="expression" dxfId="9" priority="55">
      <formula>$O21="Powered"</formula>
    </cfRule>
  </conditionalFormatting>
  <conditionalFormatting sqref="S6:T20">
    <cfRule type="expression" dxfId="8" priority="39">
      <formula>$I6="DBE (20 - 45°)"</formula>
    </cfRule>
    <cfRule type="expression" dxfId="7" priority="41">
      <formula>$I6="DB (31 - 60°)"</formula>
    </cfRule>
    <cfRule type="expression" dxfId="6" priority="42">
      <formula>$I6="BB (0 - 30°)"</formula>
    </cfRule>
    <cfRule type="expression" dxfId="5" priority="40">
      <formula>$I6="PB (61 -120°)"</formula>
    </cfRule>
  </conditionalFormatting>
  <conditionalFormatting sqref="S6:U20">
    <cfRule type="expression" dxfId="4" priority="43">
      <formula>$O6="Powered"</formula>
    </cfRule>
  </conditionalFormatting>
  <conditionalFormatting sqref="T6:T20">
    <cfRule type="expression" dxfId="3" priority="44">
      <formula>$O6="Powered"</formula>
    </cfRule>
  </conditionalFormatting>
  <conditionalFormatting sqref="U6:U20">
    <cfRule type="expression" dxfId="2" priority="45">
      <formula>$I6="AO-DB (0-20°)"</formula>
    </cfRule>
    <cfRule type="expression" dxfId="1" priority="46">
      <formula>$I6="AO-DBE (0-20°)"</formula>
    </cfRule>
    <cfRule type="expression" dxfId="0" priority="47">
      <formula>$I6="AO (0°)"</formula>
    </cfRule>
  </conditionalFormatting>
  <dataValidations xWindow="889" yWindow="492" count="2">
    <dataValidation type="whole" allowBlank="1" showErrorMessage="1" promptTitle="Minimum and maximum dimensions" prompt="Minimum:106mm_x000a_Maximum: 3000mm" sqref="E6:E20" xr:uid="{1C88EE9C-045C-4987-9774-D9E77764582E}">
      <formula1>106</formula1>
      <formula2>3000</formula2>
    </dataValidation>
    <dataValidation type="whole" allowBlank="1" showErrorMessage="1" promptTitle="Minimum and maximum dimensions" prompt="Minimum:100mm_x000a_Maximum: 3600mm" sqref="F6:F20" xr:uid="{28484D07-DE4E-42B2-9CE9-7B0CB1A4FDDC}">
      <formula1>100</formula1>
      <formula2>3600</formula2>
    </dataValidation>
  </dataValidations>
  <printOptions horizontalCentered="1"/>
  <pageMargins left="0.25" right="0.25" top="0.75" bottom="0.75" header="0.3" footer="0.3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89" yWindow="492" count="18">
        <x14:dataValidation type="list" allowBlank="1" showInputMessage="1" showErrorMessage="1" xr:uid="{DD8FAC9C-EB9D-46CC-B330-CA859B2363F8}">
          <x14:formula1>
            <xm:f>'Product Code'!$B$5</xm:f>
          </x14:formula1>
          <xm:sqref>B16:D20</xm:sqref>
        </x14:dataValidation>
        <x14:dataValidation type="list" allowBlank="1" showInputMessage="1" showErrorMessage="1" xr:uid="{42816DC4-2379-4CE1-AFA5-4F4A003501F7}">
          <x14:formula1>
            <xm:f>'Product Code'!$D$5:$D$8</xm:f>
          </x14:formula1>
          <xm:sqref>G6:G20</xm:sqref>
        </x14:dataValidation>
        <x14:dataValidation type="list" allowBlank="1" showInputMessage="1" showErrorMessage="1" xr:uid="{7D738C64-08D3-4BDD-9ED9-84149EE67926}">
          <x14:formula1>
            <xm:f>'Product Code'!$S$5:$S$6</xm:f>
          </x14:formula1>
          <xm:sqref>N6:N20</xm:sqref>
        </x14:dataValidation>
        <x14:dataValidation type="list" allowBlank="1" showInputMessage="1" showErrorMessage="1" xr:uid="{AFA90434-6971-400D-A838-9C31E8A0BEB1}">
          <x14:formula1>
            <xm:f>'Product Code'!$AK$4:$AK$5</xm:f>
          </x14:formula1>
          <xm:sqref>O6:O20</xm:sqref>
        </x14:dataValidation>
        <x14:dataValidation type="list" allowBlank="1" showInputMessage="1" showErrorMessage="1" xr:uid="{0108E793-9357-4202-8262-ED49DB684BFA}">
          <x14:formula1>
            <xm:f>'Fabric Collection '!$B$4:$B$23</xm:f>
          </x14:formula1>
          <xm:sqref>H6:H20</xm:sqref>
        </x14:dataValidation>
        <x14:dataValidation type="list" allowBlank="1" showInputMessage="1" showErrorMessage="1" xr:uid="{E11A1032-E5F2-4945-8EE0-045857614587}">
          <x14:formula1>
            <xm:f>'Product Code'!$V$5:$V$8</xm:f>
          </x14:formula1>
          <xm:sqref>P6:P20</xm:sqref>
        </x14:dataValidation>
        <x14:dataValidation type="list" allowBlank="1" showInputMessage="1" showErrorMessage="1" xr:uid="{F1691DB2-C482-4839-A07F-AEB6F6C120E6}">
          <x14:formula1>
            <xm:f>'Product Code'!$AH$5:$AH$9</xm:f>
          </x14:formula1>
          <xm:sqref>U6:U20</xm:sqref>
        </x14:dataValidation>
        <x14:dataValidation type="list" allowBlank="1" showInputMessage="1" showErrorMessage="1" xr:uid="{B1E6864B-378A-4EDD-B93F-CE38E237269A}">
          <x14:formula1>
            <xm:f>'Product Code'!$Y$5:$Y$6</xm:f>
          </x14:formula1>
          <xm:sqref>Q6:Q20</xm:sqref>
        </x14:dataValidation>
        <x14:dataValidation type="list" allowBlank="1" showInputMessage="1" showErrorMessage="1" xr:uid="{48BB7454-D046-4AA6-8CE7-C51BF0E9EDE4}">
          <x14:formula1>
            <xm:f>'Product Code'!$AB$5:$AB$7</xm:f>
          </x14:formula1>
          <xm:sqref>R6:R20</xm:sqref>
        </x14:dataValidation>
        <x14:dataValidation type="list" allowBlank="1" showInputMessage="1" showErrorMessage="1" xr:uid="{1239137C-A2C8-4F75-892C-9EB071EB5120}">
          <x14:formula1>
            <xm:f>'Product Code'!$AE$5:$AE$6</xm:f>
          </x14:formula1>
          <xm:sqref>S6:S20</xm:sqref>
        </x14:dataValidation>
        <x14:dataValidation type="list" allowBlank="1" showInputMessage="1" showErrorMessage="1" xr:uid="{D9A51414-9E62-4B6E-B34F-7BF848BFF444}">
          <x14:formula1>
            <xm:f>'Product Code'!$AM$5:$AM$6</xm:f>
          </x14:formula1>
          <xm:sqref>T6:T20</xm:sqref>
        </x14:dataValidation>
        <x14:dataValidation type="list" allowBlank="1" showErrorMessage="1" promptTitle="Note" prompt="AO, AO-DB and AO-DBE blinds: Top Stack Only" xr:uid="{03577F02-13DE-455D-9138-8BE6130B4759}">
          <x14:formula1>
            <xm:f>'Product Code'!$J$5:$J$7</xm:f>
          </x14:formula1>
          <xm:sqref>K6:K20</xm:sqref>
        </x14:dataValidation>
        <x14:dataValidation type="list" allowBlank="1" showInputMessage="1" showErrorMessage="1" xr:uid="{A419C0DD-C36F-484E-83D7-39064DA40F83}">
          <x14:formula1>
            <xm:f>'Product Code'!$P$5:$P$13</xm:f>
          </x14:formula1>
          <xm:sqref>L6:L20</xm:sqref>
        </x14:dataValidation>
        <x14:dataValidation type="list" allowBlank="1" showInputMessage="1" showErrorMessage="1" xr:uid="{0F1786AD-2EC9-4CAB-8E37-3542DBD3A4A5}">
          <x14:formula1>
            <xm:f>'Product Code'!$G$8:$G$10</xm:f>
          </x14:formula1>
          <xm:sqref>I6:I20 J16:J20</xm:sqref>
        </x14:dataValidation>
        <x14:dataValidation type="list" allowBlank="1" showInputMessage="1" showErrorMessage="1" xr:uid="{4A1805CB-2BCF-446F-8143-8280A0D3E1BC}">
          <x14:formula1>
            <xm:f>'Product Code'!$AO$5:$AO$6</xm:f>
          </x14:formula1>
          <xm:sqref>M6:M20</xm:sqref>
        </x14:dataValidation>
        <x14:dataValidation type="list" allowBlank="1" showInputMessage="1" showErrorMessage="1" xr:uid="{74313F42-59C1-4FC4-9DC3-68AC6550DDFC}">
          <x14:formula1>
            <xm:f>'Product Code'!$AT$5:$AT$6</xm:f>
          </x14:formula1>
          <xm:sqref>D6:D15</xm:sqref>
        </x14:dataValidation>
        <x14:dataValidation type="list" allowBlank="1" showInputMessage="1" showErrorMessage="1" xr:uid="{A467BAC4-07E9-4907-BC3F-13D41BA29980}">
          <x14:formula1>
            <xm:f>'Product Code'!$B$5:$B$6</xm:f>
          </x14:formula1>
          <xm:sqref>B6:B15</xm:sqref>
        </x14:dataValidation>
        <x14:dataValidation type="list" allowBlank="1" showInputMessage="1" showErrorMessage="1" xr:uid="{443BD358-2595-40F8-9CA3-6C4440D3388D}">
          <x14:formula1>
            <xm:f>'Product Code'!$AR$5:$AR$20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 codeName="Sheet2">
    <tabColor rgb="FFFF0000"/>
  </sheetPr>
  <dimension ref="B3:H23"/>
  <sheetViews>
    <sheetView workbookViewId="0">
      <selection activeCell="J8" sqref="J8"/>
    </sheetView>
  </sheetViews>
  <sheetFormatPr defaultColWidth="8.77734375" defaultRowHeight="14.4" x14ac:dyDescent="0.3"/>
  <cols>
    <col min="1" max="1" width="2.44140625" customWidth="1"/>
    <col min="2" max="2" width="30" style="8" customWidth="1"/>
    <col min="3" max="3" width="15" style="8" customWidth="1"/>
    <col min="4" max="4" width="24.44140625" customWidth="1"/>
    <col min="5" max="5" width="14.77734375" customWidth="1"/>
    <col min="6" max="6" width="23.44140625" customWidth="1"/>
    <col min="7" max="7" width="16.44140625" customWidth="1"/>
    <col min="8" max="8" width="11.77734375" bestFit="1" customWidth="1"/>
  </cols>
  <sheetData>
    <row r="3" spans="2:8" x14ac:dyDescent="0.3">
      <c r="B3" s="6" t="s">
        <v>10</v>
      </c>
      <c r="C3" s="6" t="s">
        <v>36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319</v>
      </c>
    </row>
    <row r="4" spans="2:8" x14ac:dyDescent="0.3">
      <c r="B4" s="7" t="str">
        <f t="shared" ref="B4:B23" si="0">C4&amp;" "&amp;D4&amp;" "&amp;E4</f>
        <v>0.007 Crepe White</v>
      </c>
      <c r="C4" s="7">
        <v>7.0000000000000001E-3</v>
      </c>
      <c r="D4" s="5" t="s">
        <v>128</v>
      </c>
      <c r="E4" s="5" t="s">
        <v>16</v>
      </c>
      <c r="F4" s="5" t="s">
        <v>17</v>
      </c>
      <c r="G4" s="5" t="s">
        <v>22</v>
      </c>
      <c r="H4" s="66" t="s">
        <v>320</v>
      </c>
    </row>
    <row r="5" spans="2:8" x14ac:dyDescent="0.3">
      <c r="B5" s="7" t="str">
        <f t="shared" si="0"/>
        <v>0.76 Duette Classic White</v>
      </c>
      <c r="C5" s="7">
        <v>0.76</v>
      </c>
      <c r="D5" s="5" t="s">
        <v>15</v>
      </c>
      <c r="E5" s="5" t="s">
        <v>16</v>
      </c>
      <c r="F5" s="5" t="s">
        <v>17</v>
      </c>
      <c r="G5" s="5" t="s">
        <v>18</v>
      </c>
      <c r="H5" s="5">
        <v>2</v>
      </c>
    </row>
    <row r="6" spans="2:8" x14ac:dyDescent="0.3">
      <c r="B6" s="7" t="str">
        <f t="shared" si="0"/>
        <v>0.7611 Duette Classic Cream</v>
      </c>
      <c r="C6" s="7">
        <v>0.7611</v>
      </c>
      <c r="D6" s="5" t="s">
        <v>15</v>
      </c>
      <c r="E6" s="5" t="s">
        <v>19</v>
      </c>
      <c r="F6" s="5" t="s">
        <v>17</v>
      </c>
      <c r="G6" s="5" t="s">
        <v>18</v>
      </c>
      <c r="H6" s="5">
        <v>2</v>
      </c>
    </row>
    <row r="7" spans="2:8" x14ac:dyDescent="0.3">
      <c r="B7" s="7" t="str">
        <f t="shared" si="0"/>
        <v xml:space="preserve">0.765 Duette Classic Light Grey </v>
      </c>
      <c r="C7" s="7">
        <v>0.76500000000000001</v>
      </c>
      <c r="D7" s="5" t="s">
        <v>15</v>
      </c>
      <c r="E7" s="5" t="s">
        <v>20</v>
      </c>
      <c r="F7" s="5" t="s">
        <v>17</v>
      </c>
      <c r="G7" s="5" t="s">
        <v>18</v>
      </c>
      <c r="H7" s="5">
        <v>2</v>
      </c>
    </row>
    <row r="8" spans="2:8" x14ac:dyDescent="0.3">
      <c r="B8" s="7" t="str">
        <f t="shared" si="0"/>
        <v>1.396 Lumina Off White</v>
      </c>
      <c r="C8" s="7">
        <v>1.3959999999999999</v>
      </c>
      <c r="D8" s="5" t="s">
        <v>23</v>
      </c>
      <c r="E8" s="5" t="s">
        <v>21</v>
      </c>
      <c r="F8" s="5" t="s">
        <v>17</v>
      </c>
      <c r="G8" s="5" t="s">
        <v>22</v>
      </c>
      <c r="H8" s="5">
        <v>2</v>
      </c>
    </row>
    <row r="9" spans="2:8" x14ac:dyDescent="0.3">
      <c r="B9" s="7" t="str">
        <f t="shared" si="0"/>
        <v>1.3963 Lumina Cream</v>
      </c>
      <c r="C9" s="7">
        <v>1.3963000000000001</v>
      </c>
      <c r="D9" s="5" t="s">
        <v>23</v>
      </c>
      <c r="E9" s="5" t="s">
        <v>19</v>
      </c>
      <c r="F9" s="5" t="s">
        <v>17</v>
      </c>
      <c r="G9" s="5" t="s">
        <v>22</v>
      </c>
      <c r="H9" s="5">
        <v>2</v>
      </c>
    </row>
    <row r="10" spans="2:8" x14ac:dyDescent="0.3">
      <c r="B10" s="7" t="str">
        <f t="shared" si="0"/>
        <v>1.5802 Chintz Topar Plus White</v>
      </c>
      <c r="C10" s="7">
        <v>1.5802</v>
      </c>
      <c r="D10" s="5" t="s">
        <v>84</v>
      </c>
      <c r="E10" s="5" t="s">
        <v>16</v>
      </c>
      <c r="F10" s="5" t="s">
        <v>24</v>
      </c>
      <c r="G10" s="5" t="s">
        <v>22</v>
      </c>
      <c r="H10" s="5">
        <v>2</v>
      </c>
    </row>
    <row r="11" spans="2:8" x14ac:dyDescent="0.3">
      <c r="B11" s="7" t="str">
        <f t="shared" si="0"/>
        <v xml:space="preserve">1.581 Chintz Topar Plus Grey </v>
      </c>
      <c r="C11" s="7">
        <v>1.581</v>
      </c>
      <c r="D11" s="5" t="s">
        <v>84</v>
      </c>
      <c r="E11" s="5" t="s">
        <v>25</v>
      </c>
      <c r="F11" s="5" t="s">
        <v>24</v>
      </c>
      <c r="G11" s="5" t="s">
        <v>22</v>
      </c>
      <c r="H11" s="5">
        <v>2</v>
      </c>
    </row>
    <row r="12" spans="2:8" x14ac:dyDescent="0.3">
      <c r="B12" s="7" t="str">
        <f t="shared" si="0"/>
        <v>1.5822 Chintz Topar Plus Cream</v>
      </c>
      <c r="C12" s="7">
        <v>1.5822000000000001</v>
      </c>
      <c r="D12" s="5" t="s">
        <v>84</v>
      </c>
      <c r="E12" s="5" t="s">
        <v>19</v>
      </c>
      <c r="F12" s="5" t="s">
        <v>24</v>
      </c>
      <c r="G12" s="5" t="s">
        <v>22</v>
      </c>
      <c r="H12" s="5">
        <v>2</v>
      </c>
    </row>
    <row r="13" spans="2:8" x14ac:dyDescent="0.3">
      <c r="B13" s="7" t="str">
        <f t="shared" si="0"/>
        <v>2.0001 Horizon White</v>
      </c>
      <c r="C13" s="7">
        <v>2.0001000000000002</v>
      </c>
      <c r="D13" s="5" t="s">
        <v>85</v>
      </c>
      <c r="E13" s="5" t="s">
        <v>16</v>
      </c>
      <c r="F13" s="5" t="s">
        <v>17</v>
      </c>
      <c r="G13" s="5" t="s">
        <v>22</v>
      </c>
      <c r="H13" s="5">
        <v>2</v>
      </c>
    </row>
    <row r="14" spans="2:8" x14ac:dyDescent="0.3">
      <c r="B14" s="7" t="str">
        <f t="shared" si="0"/>
        <v>2.0053 Horizon Grey</v>
      </c>
      <c r="C14" s="7">
        <v>2.0053000000000001</v>
      </c>
      <c r="D14" s="5" t="s">
        <v>85</v>
      </c>
      <c r="E14" s="5" t="s">
        <v>26</v>
      </c>
      <c r="F14" s="5" t="s">
        <v>17</v>
      </c>
      <c r="G14" s="5" t="s">
        <v>22</v>
      </c>
      <c r="H14" s="5">
        <v>2</v>
      </c>
    </row>
    <row r="15" spans="2:8" x14ac:dyDescent="0.3">
      <c r="B15" s="7" t="str">
        <f t="shared" si="0"/>
        <v>2.74 Duette Classic Dark White</v>
      </c>
      <c r="C15" s="7">
        <v>2.74</v>
      </c>
      <c r="D15" s="5" t="s">
        <v>86</v>
      </c>
      <c r="E15" s="5" t="s">
        <v>16</v>
      </c>
      <c r="F15" s="5" t="s">
        <v>28</v>
      </c>
      <c r="G15" s="5" t="s">
        <v>18</v>
      </c>
      <c r="H15" s="5">
        <v>4</v>
      </c>
    </row>
    <row r="16" spans="2:8" x14ac:dyDescent="0.3">
      <c r="B16" s="7" t="str">
        <f t="shared" si="0"/>
        <v>2.7411 Duette Classic Dark Cream</v>
      </c>
      <c r="C16" s="7">
        <v>2.7410999999999999</v>
      </c>
      <c r="D16" s="5" t="s">
        <v>86</v>
      </c>
      <c r="E16" s="5" t="s">
        <v>19</v>
      </c>
      <c r="F16" s="5" t="s">
        <v>28</v>
      </c>
      <c r="G16" s="5" t="s">
        <v>18</v>
      </c>
      <c r="H16" s="5">
        <v>4</v>
      </c>
    </row>
    <row r="17" spans="2:8" x14ac:dyDescent="0.3">
      <c r="B17" s="7" t="str">
        <f t="shared" si="0"/>
        <v>2.7453 Duette Classic Dark Light Grey</v>
      </c>
      <c r="C17" s="7">
        <v>2.7452999999999999</v>
      </c>
      <c r="D17" s="5" t="s">
        <v>86</v>
      </c>
      <c r="E17" s="5" t="s">
        <v>29</v>
      </c>
      <c r="F17" s="5" t="s">
        <v>28</v>
      </c>
      <c r="G17" s="5" t="s">
        <v>18</v>
      </c>
      <c r="H17" s="5">
        <v>4</v>
      </c>
    </row>
    <row r="18" spans="2:8" x14ac:dyDescent="0.3">
      <c r="B18" s="7" t="str">
        <f t="shared" si="0"/>
        <v>3.1759 Comfort Dustblock Light Grey</v>
      </c>
      <c r="C18" s="7">
        <v>3.1758999999999999</v>
      </c>
      <c r="D18" s="5" t="s">
        <v>87</v>
      </c>
      <c r="E18" s="5" t="s">
        <v>29</v>
      </c>
      <c r="F18" s="5" t="s">
        <v>24</v>
      </c>
      <c r="G18" s="5" t="s">
        <v>22</v>
      </c>
      <c r="H18" s="5">
        <v>4</v>
      </c>
    </row>
    <row r="19" spans="2:8" x14ac:dyDescent="0.3">
      <c r="B19" s="7" t="str">
        <f t="shared" si="0"/>
        <v>3.7456 Duette Fixe Unix Dark Black</v>
      </c>
      <c r="C19" s="7">
        <v>3.7456</v>
      </c>
      <c r="D19" s="5" t="s">
        <v>30</v>
      </c>
      <c r="E19" s="5" t="s">
        <v>31</v>
      </c>
      <c r="F19" s="5" t="s">
        <v>27</v>
      </c>
      <c r="G19" s="5" t="s">
        <v>18</v>
      </c>
      <c r="H19" s="5">
        <v>5</v>
      </c>
    </row>
    <row r="20" spans="2:8" x14ac:dyDescent="0.3">
      <c r="B20" s="7" t="str">
        <f t="shared" si="0"/>
        <v>5.1999 Oscura Luna Black</v>
      </c>
      <c r="C20" s="7">
        <v>5.1999000000000004</v>
      </c>
      <c r="D20" s="5" t="s">
        <v>32</v>
      </c>
      <c r="E20" s="5" t="s">
        <v>31</v>
      </c>
      <c r="F20" s="5" t="s">
        <v>27</v>
      </c>
      <c r="G20" s="5" t="s">
        <v>22</v>
      </c>
      <c r="H20" s="5">
        <v>5</v>
      </c>
    </row>
    <row r="21" spans="2:8" x14ac:dyDescent="0.3">
      <c r="B21" s="7" t="str">
        <f t="shared" si="0"/>
        <v>6.1001 Twilight Grey</v>
      </c>
      <c r="C21" s="7">
        <v>6.1001000000000003</v>
      </c>
      <c r="D21" s="5" t="s">
        <v>82</v>
      </c>
      <c r="E21" s="5" t="s">
        <v>26</v>
      </c>
      <c r="F21" s="5" t="s">
        <v>27</v>
      </c>
      <c r="G21" s="5" t="s">
        <v>22</v>
      </c>
      <c r="H21" s="5">
        <v>4</v>
      </c>
    </row>
    <row r="22" spans="2:8" x14ac:dyDescent="0.3">
      <c r="B22" s="7" t="str">
        <f t="shared" si="0"/>
        <v>6.1002 Twilight White</v>
      </c>
      <c r="C22" s="7">
        <v>6.1002000000000001</v>
      </c>
      <c r="D22" s="5" t="s">
        <v>82</v>
      </c>
      <c r="E22" s="5" t="s">
        <v>16</v>
      </c>
      <c r="F22" s="5" t="s">
        <v>27</v>
      </c>
      <c r="G22" s="5" t="s">
        <v>22</v>
      </c>
      <c r="H22" s="5">
        <v>4</v>
      </c>
    </row>
    <row r="23" spans="2:8" x14ac:dyDescent="0.3">
      <c r="B23" s="7" t="str">
        <f t="shared" si="0"/>
        <v>6.1006 Twilight Ivory</v>
      </c>
      <c r="C23" s="7">
        <v>6.1006</v>
      </c>
      <c r="D23" s="5" t="s">
        <v>82</v>
      </c>
      <c r="E23" s="5" t="s">
        <v>47</v>
      </c>
      <c r="F23" s="5" t="s">
        <v>27</v>
      </c>
      <c r="G23" s="5" t="s">
        <v>22</v>
      </c>
      <c r="H23" s="5">
        <v>4</v>
      </c>
    </row>
  </sheetData>
  <sheetProtection algorithmName="SHA-512" hashValue="Z5v6Jaj0/0dyFHYv7dd/WuT4cOrx78dhUuWhFlYrNzMYV21x4MhoJRaYdVfYkltT/LPBq7aY5PPOrkUvHu7/rg==" saltValue="Ob1bR6JZVym3K8RJIOakXQ==" spinCount="100000" sheet="1" selectLockedCells="1"/>
  <autoFilter ref="C3:G3" xr:uid="{91EE1E67-EA35-4418-8C06-A0A143C84790}"/>
  <sortState xmlns:xlrd2="http://schemas.microsoft.com/office/spreadsheetml/2017/richdata2" ref="B4:G23">
    <sortCondition ref="B4:B2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sheetPr codeName="Sheet3"/>
  <dimension ref="B2:AX20"/>
  <sheetViews>
    <sheetView topLeftCell="Y1" workbookViewId="0">
      <selection activeCell="AR20" sqref="AR20"/>
    </sheetView>
  </sheetViews>
  <sheetFormatPr defaultColWidth="8.77734375" defaultRowHeight="14.4" x14ac:dyDescent="0.3"/>
  <cols>
    <col min="1" max="1" width="2.44140625" customWidth="1"/>
    <col min="2" max="2" width="14.21875" style="2" bestFit="1" customWidth="1"/>
    <col min="3" max="3" width="2.44140625" style="2" customWidth="1"/>
    <col min="4" max="4" width="15.44140625" style="2" bestFit="1" customWidth="1"/>
    <col min="5" max="5" width="5.44140625" style="2" bestFit="1" customWidth="1"/>
    <col min="6" max="6" width="2.44140625" style="2" customWidth="1"/>
    <col min="7" max="7" width="35.5546875" style="2" customWidth="1"/>
    <col min="8" max="8" width="12.44140625" style="2" customWidth="1"/>
    <col min="9" max="9" width="2.44140625" style="2" customWidth="1"/>
    <col min="10" max="10" width="19.44140625" style="2" customWidth="1"/>
    <col min="11" max="11" width="12.44140625" style="2" customWidth="1"/>
    <col min="12" max="12" width="2.44140625" style="2" customWidth="1"/>
    <col min="13" max="13" width="10.44140625" style="2" bestFit="1" customWidth="1"/>
    <col min="14" max="14" width="8.77734375" style="2"/>
    <col min="15" max="15" width="2.44140625" style="2" customWidth="1"/>
    <col min="16" max="16" width="11.6640625" style="2" bestFit="1" customWidth="1"/>
    <col min="17" max="17" width="8.77734375" style="2"/>
    <col min="18" max="18" width="2.44140625" style="2" customWidth="1"/>
    <col min="19" max="19" width="13.77734375" style="2" bestFit="1" customWidth="1"/>
    <col min="20" max="20" width="8.77734375" style="2"/>
    <col min="21" max="21" width="2.44140625" style="2" customWidth="1"/>
    <col min="22" max="22" width="17.77734375" style="2" customWidth="1"/>
    <col min="23" max="23" width="8.77734375" style="2"/>
    <col min="24" max="24" width="2.44140625" style="2" customWidth="1"/>
    <col min="25" max="25" width="15.77734375" style="2" bestFit="1" customWidth="1"/>
    <col min="26" max="26" width="8.77734375" style="2"/>
    <col min="27" max="27" width="2.44140625" style="2" customWidth="1"/>
    <col min="28" max="28" width="15.77734375" style="2" bestFit="1" customWidth="1"/>
    <col min="29" max="29" width="8.77734375" style="2"/>
    <col min="30" max="30" width="2.44140625" customWidth="1"/>
    <col min="31" max="31" width="15.77734375" style="2" bestFit="1" customWidth="1"/>
    <col min="32" max="32" width="8.77734375" style="2"/>
    <col min="33" max="33" width="2.44140625" customWidth="1"/>
    <col min="34" max="34" width="23" bestFit="1" customWidth="1"/>
    <col min="36" max="36" width="3.44140625" customWidth="1"/>
    <col min="37" max="37" width="19.21875" bestFit="1" customWidth="1"/>
    <col min="40" max="40" width="3.33203125" customWidth="1"/>
    <col min="41" max="41" width="16.109375" bestFit="1" customWidth="1"/>
    <col min="42" max="42" width="15" bestFit="1" customWidth="1"/>
    <col min="43" max="43" width="2.5546875" customWidth="1"/>
    <col min="44" max="44" width="13.88671875" customWidth="1"/>
    <col min="45" max="45" width="13.5546875" customWidth="1"/>
    <col min="46" max="46" width="10.77734375" customWidth="1"/>
  </cols>
  <sheetData>
    <row r="2" spans="2:50" x14ac:dyDescent="0.3">
      <c r="B2" s="3" t="s">
        <v>33</v>
      </c>
    </row>
    <row r="4" spans="2:50" x14ac:dyDescent="0.3">
      <c r="B4" s="1" t="s">
        <v>34</v>
      </c>
      <c r="D4" s="1" t="s">
        <v>35</v>
      </c>
      <c r="E4" s="1" t="s">
        <v>36</v>
      </c>
      <c r="G4" s="1" t="s">
        <v>63</v>
      </c>
      <c r="H4" s="1" t="s">
        <v>36</v>
      </c>
      <c r="J4" s="1" t="s">
        <v>37</v>
      </c>
      <c r="K4" s="1" t="s">
        <v>36</v>
      </c>
      <c r="M4" s="1" t="s">
        <v>38</v>
      </c>
      <c r="N4" s="1" t="s">
        <v>36</v>
      </c>
      <c r="P4" s="1" t="s">
        <v>39</v>
      </c>
      <c r="Q4" s="1" t="s">
        <v>36</v>
      </c>
      <c r="S4" s="1" t="s">
        <v>49</v>
      </c>
      <c r="T4" s="1" t="s">
        <v>36</v>
      </c>
      <c r="V4" s="1" t="s">
        <v>52</v>
      </c>
      <c r="W4" s="1" t="s">
        <v>36</v>
      </c>
      <c r="Y4" s="1" t="s">
        <v>57</v>
      </c>
      <c r="Z4" s="1" t="s">
        <v>36</v>
      </c>
      <c r="AB4" s="1" t="s">
        <v>59</v>
      </c>
      <c r="AC4" s="1" t="s">
        <v>36</v>
      </c>
      <c r="AE4" s="1" t="s">
        <v>109</v>
      </c>
      <c r="AF4" s="1" t="s">
        <v>36</v>
      </c>
      <c r="AH4" s="1" t="s">
        <v>64</v>
      </c>
      <c r="AI4" s="1" t="s">
        <v>36</v>
      </c>
      <c r="AK4" s="1" t="s">
        <v>74</v>
      </c>
      <c r="AL4" s="1"/>
      <c r="AM4" s="1" t="s">
        <v>129</v>
      </c>
      <c r="AN4" s="1"/>
      <c r="AO4" s="1" t="s">
        <v>149</v>
      </c>
      <c r="AP4" s="1" t="s">
        <v>36</v>
      </c>
      <c r="AR4" s="1" t="s">
        <v>288</v>
      </c>
      <c r="AS4" s="1"/>
      <c r="AT4" s="1" t="s">
        <v>303</v>
      </c>
      <c r="AU4" s="1"/>
      <c r="AV4" s="1"/>
      <c r="AW4" s="1"/>
      <c r="AX4" s="1"/>
    </row>
    <row r="5" spans="2:50" x14ac:dyDescent="0.3">
      <c r="B5" s="2" t="s">
        <v>40</v>
      </c>
      <c r="C5" s="2" t="s">
        <v>41</v>
      </c>
      <c r="D5" s="2" t="s">
        <v>42</v>
      </c>
      <c r="E5" s="22" t="s">
        <v>310</v>
      </c>
      <c r="G5" s="2" t="s">
        <v>77</v>
      </c>
      <c r="H5" s="22" t="s">
        <v>88</v>
      </c>
      <c r="J5" s="2" t="s">
        <v>43</v>
      </c>
      <c r="K5" s="22" t="s">
        <v>94</v>
      </c>
      <c r="M5" s="2" t="s">
        <v>44</v>
      </c>
      <c r="N5" s="22" t="s">
        <v>97</v>
      </c>
      <c r="P5" s="2" t="s">
        <v>138</v>
      </c>
      <c r="Q5" s="22" t="s">
        <v>143</v>
      </c>
      <c r="S5" s="2" t="s">
        <v>51</v>
      </c>
      <c r="T5" s="22" t="s">
        <v>67</v>
      </c>
      <c r="V5" s="2" t="s">
        <v>83</v>
      </c>
      <c r="W5" s="22" t="s">
        <v>99</v>
      </c>
      <c r="Y5" s="2" t="s">
        <v>58</v>
      </c>
      <c r="Z5" s="22" t="s">
        <v>95</v>
      </c>
      <c r="AB5" s="2" t="s">
        <v>60</v>
      </c>
      <c r="AC5" s="22" t="s">
        <v>106</v>
      </c>
      <c r="AE5" s="2" t="s">
        <v>60</v>
      </c>
      <c r="AF5" s="22" t="s">
        <v>106</v>
      </c>
      <c r="AH5" s="2" t="s">
        <v>137</v>
      </c>
      <c r="AI5" s="22" t="s">
        <v>101</v>
      </c>
      <c r="AK5" s="1" t="s">
        <v>72</v>
      </c>
      <c r="AL5" s="2"/>
      <c r="AM5" t="s">
        <v>31</v>
      </c>
      <c r="AO5" s="2" t="s">
        <v>51</v>
      </c>
      <c r="AQ5" s="22" t="s">
        <v>67</v>
      </c>
      <c r="AR5" s="68" t="s">
        <v>289</v>
      </c>
      <c r="AT5" t="s">
        <v>304</v>
      </c>
    </row>
    <row r="6" spans="2:50" x14ac:dyDescent="0.3">
      <c r="B6" s="2" t="s">
        <v>318</v>
      </c>
      <c r="C6" s="2" t="s">
        <v>41</v>
      </c>
      <c r="D6" s="2" t="s">
        <v>31</v>
      </c>
      <c r="E6" s="22" t="s">
        <v>309</v>
      </c>
      <c r="G6" s="2" t="s">
        <v>110</v>
      </c>
      <c r="H6" s="22" t="s">
        <v>111</v>
      </c>
      <c r="J6" s="2" t="s">
        <v>45</v>
      </c>
      <c r="K6" s="22" t="s">
        <v>95</v>
      </c>
      <c r="M6" s="2" t="s">
        <v>46</v>
      </c>
      <c r="N6" s="22" t="s">
        <v>98</v>
      </c>
      <c r="P6" s="2" t="s">
        <v>139</v>
      </c>
      <c r="Q6" s="22" t="s">
        <v>144</v>
      </c>
      <c r="S6" s="2" t="s">
        <v>50</v>
      </c>
      <c r="T6" s="22"/>
      <c r="V6" s="2" t="s">
        <v>53</v>
      </c>
      <c r="W6" s="22" t="s">
        <v>100</v>
      </c>
      <c r="Y6" s="2" t="s">
        <v>43</v>
      </c>
      <c r="Z6" s="22" t="s">
        <v>94</v>
      </c>
      <c r="AB6" s="2" t="s">
        <v>61</v>
      </c>
      <c r="AC6" s="22" t="s">
        <v>107</v>
      </c>
      <c r="AE6" s="2" t="s">
        <v>62</v>
      </c>
      <c r="AF6" s="22" t="s">
        <v>108</v>
      </c>
      <c r="AH6" s="2" t="s">
        <v>56</v>
      </c>
      <c r="AI6" s="22" t="s">
        <v>102</v>
      </c>
      <c r="AL6" s="2"/>
      <c r="AM6" t="s">
        <v>16</v>
      </c>
      <c r="AO6" s="2" t="s">
        <v>50</v>
      </c>
      <c r="AQ6" s="22"/>
      <c r="AR6" s="68" t="s">
        <v>290</v>
      </c>
      <c r="AT6" t="s">
        <v>305</v>
      </c>
    </row>
    <row r="7" spans="2:50" x14ac:dyDescent="0.3">
      <c r="D7" s="2" t="s">
        <v>47</v>
      </c>
      <c r="E7" s="22" t="s">
        <v>308</v>
      </c>
      <c r="G7" s="2" t="s">
        <v>76</v>
      </c>
      <c r="H7" s="22" t="s">
        <v>89</v>
      </c>
      <c r="J7" s="2" t="s">
        <v>48</v>
      </c>
      <c r="K7" s="22" t="s">
        <v>96</v>
      </c>
      <c r="P7" s="2" t="s">
        <v>140</v>
      </c>
      <c r="Q7" s="22" t="s">
        <v>145</v>
      </c>
      <c r="V7" s="2" t="s">
        <v>133</v>
      </c>
      <c r="W7" s="22" t="s">
        <v>134</v>
      </c>
      <c r="AB7" s="2" t="s">
        <v>62</v>
      </c>
      <c r="AC7" s="22" t="s">
        <v>108</v>
      </c>
      <c r="AH7" s="2" t="s">
        <v>54</v>
      </c>
      <c r="AI7" s="22" t="s">
        <v>103</v>
      </c>
      <c r="AL7" s="2"/>
      <c r="AR7" s="68" t="s">
        <v>291</v>
      </c>
    </row>
    <row r="8" spans="2:50" x14ac:dyDescent="0.3">
      <c r="D8" s="2" t="s">
        <v>16</v>
      </c>
      <c r="E8" s="22" t="s">
        <v>311</v>
      </c>
      <c r="G8" s="2" t="s">
        <v>79</v>
      </c>
      <c r="H8" s="22" t="s">
        <v>90</v>
      </c>
      <c r="P8" s="2" t="s">
        <v>141</v>
      </c>
      <c r="Q8" s="22" t="s">
        <v>146</v>
      </c>
      <c r="V8" s="2" t="s">
        <v>132</v>
      </c>
      <c r="W8" s="22" t="s">
        <v>135</v>
      </c>
      <c r="AH8" s="2" t="s">
        <v>68</v>
      </c>
      <c r="AI8" s="22" t="s">
        <v>104</v>
      </c>
      <c r="AL8" s="2"/>
      <c r="AR8" s="68" t="s">
        <v>292</v>
      </c>
    </row>
    <row r="9" spans="2:50" x14ac:dyDescent="0.3">
      <c r="G9" s="2" t="s">
        <v>80</v>
      </c>
      <c r="H9" s="22" t="s">
        <v>91</v>
      </c>
      <c r="P9" s="2" t="s">
        <v>142</v>
      </c>
      <c r="Q9" s="22" t="s">
        <v>147</v>
      </c>
      <c r="AH9" s="2" t="s">
        <v>55</v>
      </c>
      <c r="AI9" s="22" t="s">
        <v>105</v>
      </c>
      <c r="AL9" s="2"/>
      <c r="AR9" s="68" t="s">
        <v>293</v>
      </c>
    </row>
    <row r="10" spans="2:50" x14ac:dyDescent="0.3">
      <c r="G10" s="2" t="s">
        <v>81</v>
      </c>
      <c r="H10" s="22" t="s">
        <v>93</v>
      </c>
      <c r="Q10" s="22"/>
      <c r="AH10" s="2"/>
      <c r="AI10" s="2"/>
      <c r="AL10" s="2"/>
      <c r="AR10" s="68" t="s">
        <v>294</v>
      </c>
    </row>
    <row r="11" spans="2:50" x14ac:dyDescent="0.3">
      <c r="G11" s="2" t="s">
        <v>78</v>
      </c>
      <c r="H11" s="22" t="s">
        <v>92</v>
      </c>
      <c r="Q11" s="22"/>
      <c r="AH11" s="2"/>
      <c r="AI11" s="2"/>
      <c r="AR11" s="68" t="s">
        <v>295</v>
      </c>
    </row>
    <row r="12" spans="2:50" x14ac:dyDescent="0.3">
      <c r="Q12" s="22"/>
      <c r="AR12" s="68" t="s">
        <v>296</v>
      </c>
    </row>
    <row r="13" spans="2:50" x14ac:dyDescent="0.3">
      <c r="Q13" s="22"/>
      <c r="AR13" s="68" t="s">
        <v>297</v>
      </c>
    </row>
    <row r="14" spans="2:50" x14ac:dyDescent="0.3">
      <c r="AR14" s="68" t="s">
        <v>298</v>
      </c>
    </row>
    <row r="15" spans="2:50" x14ac:dyDescent="0.3">
      <c r="AR15" s="68" t="s">
        <v>230</v>
      </c>
    </row>
    <row r="16" spans="2:50" x14ac:dyDescent="0.3">
      <c r="AR16" s="68" t="s">
        <v>299</v>
      </c>
    </row>
    <row r="17" spans="44:44" x14ac:dyDescent="0.3">
      <c r="AR17" s="68" t="s">
        <v>300</v>
      </c>
    </row>
    <row r="18" spans="44:44" x14ac:dyDescent="0.3">
      <c r="AR18" s="68" t="s">
        <v>301</v>
      </c>
    </row>
    <row r="19" spans="44:44" x14ac:dyDescent="0.3">
      <c r="AR19" s="61" t="s">
        <v>250</v>
      </c>
    </row>
    <row r="20" spans="44:44" x14ac:dyDescent="0.3">
      <c r="AR20" s="68" t="s">
        <v>302</v>
      </c>
    </row>
  </sheetData>
  <sheetProtection selectLockedCells="1" selectUnlockedCells="1"/>
  <sortState xmlns:xlrd2="http://schemas.microsoft.com/office/spreadsheetml/2017/richdata2" ref="V5:W8">
    <sortCondition ref="V5:V8"/>
  </sortState>
  <phoneticPr fontId="1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30B3-CB63-455A-8621-2962A81FBB7E}">
  <dimension ref="A1:AG44"/>
  <sheetViews>
    <sheetView topLeftCell="A26" zoomScaleNormal="100" workbookViewId="0">
      <selection activeCell="S32" sqref="S32"/>
    </sheetView>
  </sheetViews>
  <sheetFormatPr defaultRowHeight="14.4" x14ac:dyDescent="0.3"/>
  <cols>
    <col min="1" max="1" width="12.44140625" style="67" customWidth="1"/>
    <col min="2" max="2" width="23.5546875" style="67" customWidth="1"/>
    <col min="3" max="3" width="21.77734375" style="67" hidden="1" customWidth="1"/>
    <col min="4" max="4" width="16.33203125" style="67" hidden="1" customWidth="1"/>
    <col min="5" max="16" width="15.6640625" style="66" hidden="1" customWidth="1"/>
    <col min="17" max="17" width="16.33203125" style="67" customWidth="1"/>
    <col min="18" max="18" width="17.21875" style="67" customWidth="1"/>
    <col min="19" max="19" width="17.6640625" customWidth="1"/>
    <col min="31" max="31" width="10" customWidth="1"/>
    <col min="33" max="33" width="10" customWidth="1"/>
  </cols>
  <sheetData>
    <row r="1" spans="1:33" ht="33.75" customHeight="1" x14ac:dyDescent="0.3">
      <c r="A1" s="56"/>
      <c r="B1" s="56"/>
      <c r="C1" s="56"/>
      <c r="D1" s="56"/>
      <c r="E1" s="57" t="str">
        <f>Shape</f>
        <v>Rectangle</v>
      </c>
      <c r="F1" s="57"/>
      <c r="G1" s="57">
        <f>Angle</f>
        <v>15</v>
      </c>
      <c r="H1" s="57" t="str">
        <f>Cording</f>
        <v>Edge to Edge</v>
      </c>
      <c r="I1" s="57">
        <f>BlindWidth</f>
        <v>1800</v>
      </c>
      <c r="J1" s="57">
        <f>BlindDrop</f>
        <v>1000</v>
      </c>
      <c r="K1" s="57" t="e">
        <f>NonParallel</f>
        <v>#REF!</v>
      </c>
      <c r="L1" s="57" t="e">
        <f>BentHR</f>
        <v>#REF!</v>
      </c>
      <c r="M1" s="57">
        <f>FabricJoin</f>
        <v>0</v>
      </c>
      <c r="N1" s="57" t="str">
        <f>ConnectRail</f>
        <v>No</v>
      </c>
      <c r="O1" s="57">
        <f>Unipleat</f>
        <v>0</v>
      </c>
      <c r="P1" s="57"/>
      <c r="Q1" s="56"/>
      <c r="R1" s="56"/>
    </row>
    <row r="3" spans="1:33" ht="40.5" customHeight="1" x14ac:dyDescent="0.3">
      <c r="A3" s="58" t="s">
        <v>261</v>
      </c>
      <c r="B3" s="58" t="s">
        <v>262</v>
      </c>
      <c r="C3" s="58" t="s">
        <v>263</v>
      </c>
      <c r="D3" s="58" t="s">
        <v>264</v>
      </c>
      <c r="E3" s="59" t="s">
        <v>265</v>
      </c>
      <c r="F3" s="59" t="s">
        <v>266</v>
      </c>
      <c r="G3" s="59" t="s">
        <v>267</v>
      </c>
      <c r="H3" s="59" t="s">
        <v>268</v>
      </c>
      <c r="I3" s="59" t="s">
        <v>269</v>
      </c>
      <c r="J3" s="59" t="s">
        <v>270</v>
      </c>
      <c r="K3" s="59" t="s">
        <v>271</v>
      </c>
      <c r="L3" s="59" t="s">
        <v>272</v>
      </c>
      <c r="M3" s="59" t="s">
        <v>273</v>
      </c>
      <c r="N3" s="59" t="s">
        <v>274</v>
      </c>
      <c r="O3" s="59" t="s">
        <v>275</v>
      </c>
      <c r="P3" s="59" t="s">
        <v>276</v>
      </c>
      <c r="Q3" s="58" t="s">
        <v>277</v>
      </c>
      <c r="R3" s="58" t="s">
        <v>278</v>
      </c>
      <c r="S3" s="58" t="s">
        <v>306</v>
      </c>
      <c r="V3" s="89"/>
      <c r="W3" s="89"/>
      <c r="X3" s="89"/>
    </row>
    <row r="4" spans="1:33" ht="57.75" hidden="1" customHeight="1" x14ac:dyDescent="0.3">
      <c r="A4" s="60" t="s">
        <v>163</v>
      </c>
      <c r="B4" s="61" t="s">
        <v>164</v>
      </c>
      <c r="C4" s="61" t="s">
        <v>165</v>
      </c>
      <c r="D4" s="61" t="s">
        <v>165</v>
      </c>
      <c r="E4" s="2">
        <v>0</v>
      </c>
      <c r="F4" s="2">
        <v>0</v>
      </c>
      <c r="G4" s="2">
        <f t="shared" ref="G4:G35" si="0">IF(Angle&gt;30,0.5,0)</f>
        <v>0</v>
      </c>
      <c r="H4" s="2">
        <f t="shared" ref="H4:H35" si="1">IF(Cording="No",0,IF(Cording="Centre cording",0,IF(AND(Cording="Edge to Edge",BlindWidth&lt;1801),0.5,IF(AND(Cording="Edge to Edge",BlindWidth&gt;1800),1,0))))</f>
        <v>0.5</v>
      </c>
      <c r="I4" s="2">
        <f t="shared" ref="I4:I35" si="2">IF(BlindWidth&gt;2499,1,0)</f>
        <v>0</v>
      </c>
      <c r="J4" s="62"/>
      <c r="K4" s="2" t="e">
        <f t="shared" ref="K4:K29" si="3">IF(NonParallel="Yes",0.5,0)</f>
        <v>#REF!</v>
      </c>
      <c r="L4" s="62"/>
      <c r="M4" s="2">
        <f t="shared" ref="M4:M35" si="4">IF(FabricJoin="Yes",0.5,0)</f>
        <v>0</v>
      </c>
      <c r="N4" s="62" t="s">
        <v>166</v>
      </c>
      <c r="O4" s="2">
        <f t="shared" ref="O4:O35" si="5">IF(Unipleat="Yes",1.5,0)</f>
        <v>0</v>
      </c>
      <c r="P4" s="2" t="e">
        <f>SUM(TableShapes[[#This Row],[CFBase]:[CFUnipleat]])</f>
        <v>#REF!</v>
      </c>
      <c r="Q4" s="61" t="s">
        <v>167</v>
      </c>
      <c r="R4" s="61" t="e" vm="1">
        <v>#VALUE!</v>
      </c>
      <c r="S4" s="61"/>
      <c r="U4" s="63"/>
      <c r="V4" s="63"/>
      <c r="W4" s="63"/>
      <c r="X4" s="63"/>
      <c r="Z4" s="63"/>
      <c r="AA4" s="63"/>
      <c r="AB4" s="63"/>
      <c r="AC4" s="63"/>
    </row>
    <row r="5" spans="1:33" ht="57.75" customHeight="1" x14ac:dyDescent="0.3">
      <c r="A5" s="60" t="s">
        <v>168</v>
      </c>
      <c r="B5" s="61" t="s">
        <v>169</v>
      </c>
      <c r="C5" s="61" t="s">
        <v>165</v>
      </c>
      <c r="D5" s="61" t="s">
        <v>165</v>
      </c>
      <c r="E5" s="2">
        <v>1</v>
      </c>
      <c r="F5" s="2">
        <v>2</v>
      </c>
      <c r="G5" s="2">
        <f t="shared" si="0"/>
        <v>0</v>
      </c>
      <c r="H5" s="2">
        <f t="shared" si="1"/>
        <v>0.5</v>
      </c>
      <c r="I5" s="2">
        <f t="shared" si="2"/>
        <v>0</v>
      </c>
      <c r="J5" s="2">
        <f t="shared" ref="J5:J34" si="6">IF(BlindDrop&gt;1400,1,0)</f>
        <v>0</v>
      </c>
      <c r="K5" s="2" t="e">
        <f t="shared" si="3"/>
        <v>#REF!</v>
      </c>
      <c r="L5" s="62"/>
      <c r="M5" s="2">
        <f t="shared" si="4"/>
        <v>0</v>
      </c>
      <c r="N5" s="62" t="s">
        <v>166</v>
      </c>
      <c r="O5" s="2">
        <f t="shared" si="5"/>
        <v>0</v>
      </c>
      <c r="P5" s="2" t="e">
        <f>SUM(TableShapes[[#This Row],[CFBase]:[CFUnipleat]])</f>
        <v>#REF!</v>
      </c>
      <c r="Q5" s="61" t="s">
        <v>170</v>
      </c>
      <c r="R5" s="61" t="e" vm="2">
        <v>#VALUE!</v>
      </c>
      <c r="S5" s="61" t="e" vm="3">
        <v>#VALUE!</v>
      </c>
      <c r="V5" s="63"/>
      <c r="W5" s="63"/>
      <c r="X5" s="63"/>
      <c r="Z5" s="63"/>
      <c r="AA5" s="63"/>
      <c r="AB5" s="63"/>
      <c r="AC5" s="63"/>
    </row>
    <row r="6" spans="1:33" ht="57.75" customHeight="1" x14ac:dyDescent="0.3">
      <c r="A6" s="60" t="s">
        <v>171</v>
      </c>
      <c r="B6" s="61" t="s">
        <v>172</v>
      </c>
      <c r="C6" s="61" t="s">
        <v>165</v>
      </c>
      <c r="D6" s="61" t="s">
        <v>165</v>
      </c>
      <c r="E6" s="2">
        <v>1</v>
      </c>
      <c r="F6" s="2">
        <v>2</v>
      </c>
      <c r="G6" s="2">
        <f t="shared" si="0"/>
        <v>0</v>
      </c>
      <c r="H6" s="2">
        <f t="shared" si="1"/>
        <v>0.5</v>
      </c>
      <c r="I6" s="2">
        <f t="shared" si="2"/>
        <v>0</v>
      </c>
      <c r="J6" s="2">
        <f t="shared" si="6"/>
        <v>0</v>
      </c>
      <c r="K6" s="2" t="e">
        <f t="shared" si="3"/>
        <v>#REF!</v>
      </c>
      <c r="L6" s="62"/>
      <c r="M6" s="2">
        <f t="shared" si="4"/>
        <v>0</v>
      </c>
      <c r="N6" s="62" t="s">
        <v>166</v>
      </c>
      <c r="O6" s="2">
        <f t="shared" si="5"/>
        <v>0</v>
      </c>
      <c r="P6" s="2" t="e">
        <f>SUM(TableShapes[[#This Row],[CFBase]:[CFUnipleat]])</f>
        <v>#REF!</v>
      </c>
      <c r="Q6" s="61" t="s">
        <v>173</v>
      </c>
      <c r="R6" s="61" t="e" vm="4">
        <v>#VALUE!</v>
      </c>
      <c r="S6" s="61" t="e" vm="5">
        <v>#VALUE!</v>
      </c>
      <c r="V6" s="63"/>
      <c r="W6" s="63"/>
      <c r="X6" s="63"/>
      <c r="Z6" s="63"/>
      <c r="AA6" s="63"/>
      <c r="AB6" s="63"/>
      <c r="AC6" s="63"/>
    </row>
    <row r="7" spans="1:33" ht="57.75" customHeight="1" x14ac:dyDescent="0.3">
      <c r="A7" s="60" t="s">
        <v>174</v>
      </c>
      <c r="B7" s="61" t="s">
        <v>175</v>
      </c>
      <c r="C7" s="61" t="s">
        <v>165</v>
      </c>
      <c r="D7" s="61" t="s">
        <v>165</v>
      </c>
      <c r="E7" s="2">
        <v>1</v>
      </c>
      <c r="F7" s="2">
        <v>1.5</v>
      </c>
      <c r="G7" s="2">
        <f t="shared" si="0"/>
        <v>0</v>
      </c>
      <c r="H7" s="2">
        <f t="shared" si="1"/>
        <v>0.5</v>
      </c>
      <c r="I7" s="2">
        <f t="shared" si="2"/>
        <v>0</v>
      </c>
      <c r="J7" s="2">
        <f t="shared" si="6"/>
        <v>0</v>
      </c>
      <c r="K7" s="2" t="e">
        <f t="shared" si="3"/>
        <v>#REF!</v>
      </c>
      <c r="L7" s="62"/>
      <c r="M7" s="2">
        <f t="shared" si="4"/>
        <v>0</v>
      </c>
      <c r="N7" s="62" t="s">
        <v>166</v>
      </c>
      <c r="O7" s="2">
        <f t="shared" si="5"/>
        <v>0</v>
      </c>
      <c r="P7" s="2" t="e">
        <f>SUM(TableShapes[[#This Row],[CFBase]:[CFUnipleat]])</f>
        <v>#REF!</v>
      </c>
      <c r="Q7" s="61" t="s">
        <v>176</v>
      </c>
      <c r="R7" s="61" t="e" vm="6">
        <v>#VALUE!</v>
      </c>
      <c r="S7" s="61" t="e" vm="7">
        <v>#VALUE!</v>
      </c>
      <c r="V7" s="64"/>
      <c r="W7" s="64"/>
      <c r="X7" s="64"/>
      <c r="Z7" s="63"/>
      <c r="AA7" s="63"/>
      <c r="AB7" s="63"/>
      <c r="AC7" s="63"/>
    </row>
    <row r="8" spans="1:33" ht="57.75" customHeight="1" x14ac:dyDescent="0.3">
      <c r="A8" s="60" t="s">
        <v>177</v>
      </c>
      <c r="B8" s="61" t="s">
        <v>178</v>
      </c>
      <c r="C8" s="61" t="s">
        <v>165</v>
      </c>
      <c r="D8" s="61" t="s">
        <v>165</v>
      </c>
      <c r="E8" s="2">
        <v>1</v>
      </c>
      <c r="F8" s="2">
        <v>1.5</v>
      </c>
      <c r="G8" s="2">
        <f t="shared" si="0"/>
        <v>0</v>
      </c>
      <c r="H8" s="2">
        <f t="shared" si="1"/>
        <v>0.5</v>
      </c>
      <c r="I8" s="2">
        <f t="shared" si="2"/>
        <v>0</v>
      </c>
      <c r="J8" s="2">
        <f t="shared" si="6"/>
        <v>0</v>
      </c>
      <c r="K8" s="2" t="e">
        <f t="shared" si="3"/>
        <v>#REF!</v>
      </c>
      <c r="L8" s="62"/>
      <c r="M8" s="2">
        <f t="shared" si="4"/>
        <v>0</v>
      </c>
      <c r="N8" s="62" t="s">
        <v>166</v>
      </c>
      <c r="O8" s="2">
        <f t="shared" si="5"/>
        <v>0</v>
      </c>
      <c r="P8" s="2" t="e">
        <f>SUM(TableShapes[[#This Row],[CFBase]:[CFUnipleat]])</f>
        <v>#REF!</v>
      </c>
      <c r="Q8" s="61" t="s">
        <v>179</v>
      </c>
      <c r="R8" s="61" t="e" vm="8">
        <v>#VALUE!</v>
      </c>
      <c r="S8" s="61" t="e" vm="9">
        <v>#VALUE!</v>
      </c>
      <c r="V8" s="65"/>
      <c r="W8" s="63"/>
      <c r="X8" s="63"/>
      <c r="Z8" s="63"/>
    </row>
    <row r="9" spans="1:33" ht="57.75" customHeight="1" x14ac:dyDescent="0.3">
      <c r="A9" s="60" t="s">
        <v>180</v>
      </c>
      <c r="B9" s="61" t="s">
        <v>181</v>
      </c>
      <c r="C9" s="61" t="s">
        <v>165</v>
      </c>
      <c r="D9" s="61" t="s">
        <v>182</v>
      </c>
      <c r="E9" s="2">
        <v>2</v>
      </c>
      <c r="F9" s="2">
        <v>2</v>
      </c>
      <c r="G9" s="2">
        <f t="shared" si="0"/>
        <v>0</v>
      </c>
      <c r="H9" s="2">
        <f t="shared" si="1"/>
        <v>0.5</v>
      </c>
      <c r="I9" s="2">
        <f t="shared" si="2"/>
        <v>0</v>
      </c>
      <c r="J9" s="2">
        <f t="shared" si="6"/>
        <v>0</v>
      </c>
      <c r="K9" s="2" t="e">
        <f t="shared" si="3"/>
        <v>#REF!</v>
      </c>
      <c r="L9" s="2">
        <v>0.5</v>
      </c>
      <c r="M9" s="2">
        <f t="shared" si="4"/>
        <v>0</v>
      </c>
      <c r="N9" s="62" t="s">
        <v>166</v>
      </c>
      <c r="O9" s="2">
        <f t="shared" si="5"/>
        <v>0</v>
      </c>
      <c r="P9" s="2" t="e">
        <f>SUM(TableShapes[[#This Row],[CFBase]:[CFUnipleat]])</f>
        <v>#REF!</v>
      </c>
      <c r="Q9" s="61" t="s">
        <v>183</v>
      </c>
      <c r="R9" s="61" t="e" vm="10">
        <v>#VALUE!</v>
      </c>
      <c r="S9" s="61" t="e" vm="11">
        <v>#VALUE!</v>
      </c>
      <c r="V9" s="89"/>
      <c r="W9" s="89"/>
      <c r="X9" s="89"/>
    </row>
    <row r="10" spans="1:33" ht="57.75" customHeight="1" x14ac:dyDescent="0.3">
      <c r="A10" s="60" t="s">
        <v>184</v>
      </c>
      <c r="B10" s="61" t="s">
        <v>185</v>
      </c>
      <c r="C10" s="61" t="s">
        <v>165</v>
      </c>
      <c r="D10" s="61" t="s">
        <v>182</v>
      </c>
      <c r="E10" s="2">
        <v>2</v>
      </c>
      <c r="F10" s="2">
        <v>2</v>
      </c>
      <c r="G10" s="2">
        <f t="shared" si="0"/>
        <v>0</v>
      </c>
      <c r="H10" s="2">
        <f t="shared" si="1"/>
        <v>0.5</v>
      </c>
      <c r="I10" s="2">
        <f t="shared" si="2"/>
        <v>0</v>
      </c>
      <c r="J10" s="2">
        <f t="shared" si="6"/>
        <v>0</v>
      </c>
      <c r="K10" s="2" t="e">
        <f t="shared" si="3"/>
        <v>#REF!</v>
      </c>
      <c r="L10" s="2">
        <v>0.5</v>
      </c>
      <c r="M10" s="2">
        <f t="shared" si="4"/>
        <v>0</v>
      </c>
      <c r="N10" s="62" t="s">
        <v>166</v>
      </c>
      <c r="O10" s="2">
        <f t="shared" si="5"/>
        <v>0</v>
      </c>
      <c r="P10" s="2" t="e">
        <f>SUM(TableShapes[[#This Row],[CFBase]:[CFUnipleat]])</f>
        <v>#REF!</v>
      </c>
      <c r="Q10" s="61" t="s">
        <v>186</v>
      </c>
      <c r="R10" s="61" t="e" vm="12">
        <v>#VALUE!</v>
      </c>
      <c r="S10" s="61" t="e" vm="13">
        <v>#VALUE!</v>
      </c>
      <c r="V10" s="89"/>
      <c r="W10" s="89"/>
      <c r="X10" s="89"/>
    </row>
    <row r="11" spans="1:33" ht="57.75" customHeight="1" x14ac:dyDescent="0.3">
      <c r="A11" s="60" t="s">
        <v>187</v>
      </c>
      <c r="B11" s="61" t="s">
        <v>188</v>
      </c>
      <c r="C11" s="61" t="s">
        <v>165</v>
      </c>
      <c r="D11" s="61" t="s">
        <v>182</v>
      </c>
      <c r="E11" s="2">
        <v>2</v>
      </c>
      <c r="F11" s="2">
        <v>2.5</v>
      </c>
      <c r="G11" s="2">
        <f t="shared" si="0"/>
        <v>0</v>
      </c>
      <c r="H11" s="2">
        <f t="shared" si="1"/>
        <v>0.5</v>
      </c>
      <c r="I11" s="2">
        <f t="shared" si="2"/>
        <v>0</v>
      </c>
      <c r="J11" s="2">
        <f t="shared" si="6"/>
        <v>0</v>
      </c>
      <c r="K11" s="2" t="e">
        <f t="shared" si="3"/>
        <v>#REF!</v>
      </c>
      <c r="L11" s="2">
        <v>0.5</v>
      </c>
      <c r="M11" s="2">
        <f t="shared" si="4"/>
        <v>0</v>
      </c>
      <c r="N11" s="62" t="s">
        <v>166</v>
      </c>
      <c r="O11" s="2">
        <f t="shared" si="5"/>
        <v>0</v>
      </c>
      <c r="P11" s="2" t="e">
        <f>SUM(TableShapes[[#This Row],[CFBase]:[CFUnipleat]])</f>
        <v>#REF!</v>
      </c>
      <c r="Q11" s="61" t="s">
        <v>189</v>
      </c>
      <c r="R11" s="61" t="e" vm="14">
        <v>#VALUE!</v>
      </c>
      <c r="S11" s="61" t="e" vm="15">
        <v>#VALUE!</v>
      </c>
    </row>
    <row r="12" spans="1:33" ht="57.75" customHeight="1" x14ac:dyDescent="0.3">
      <c r="A12" s="60" t="s">
        <v>190</v>
      </c>
      <c r="B12" s="61" t="s">
        <v>191</v>
      </c>
      <c r="C12" s="61" t="s">
        <v>165</v>
      </c>
      <c r="D12" s="61" t="s">
        <v>182</v>
      </c>
      <c r="E12" s="2">
        <v>2</v>
      </c>
      <c r="F12" s="2">
        <v>2.5</v>
      </c>
      <c r="G12" s="2">
        <f t="shared" si="0"/>
        <v>0</v>
      </c>
      <c r="H12" s="2">
        <f t="shared" si="1"/>
        <v>0.5</v>
      </c>
      <c r="I12" s="2">
        <f t="shared" si="2"/>
        <v>0</v>
      </c>
      <c r="J12" s="2">
        <f t="shared" si="6"/>
        <v>0</v>
      </c>
      <c r="K12" s="2" t="e">
        <f t="shared" si="3"/>
        <v>#REF!</v>
      </c>
      <c r="L12" s="2">
        <v>0.5</v>
      </c>
      <c r="M12" s="2">
        <f t="shared" si="4"/>
        <v>0</v>
      </c>
      <c r="N12" s="62" t="s">
        <v>166</v>
      </c>
      <c r="O12" s="2">
        <f t="shared" si="5"/>
        <v>0</v>
      </c>
      <c r="P12" s="2" t="e">
        <f>SUM(TableShapes[[#This Row],[CFBase]:[CFUnipleat]])</f>
        <v>#REF!</v>
      </c>
      <c r="Q12" s="61" t="s">
        <v>192</v>
      </c>
      <c r="R12" s="61" t="e" vm="16">
        <v>#VALUE!</v>
      </c>
      <c r="S12" s="61" t="e" vm="17">
        <v>#VALUE!</v>
      </c>
      <c r="AG12" s="90"/>
    </row>
    <row r="13" spans="1:33" ht="57.75" customHeight="1" x14ac:dyDescent="0.3">
      <c r="A13" s="60" t="s">
        <v>193</v>
      </c>
      <c r="B13" s="61" t="s">
        <v>194</v>
      </c>
      <c r="C13" s="61" t="s">
        <v>165</v>
      </c>
      <c r="D13" s="61" t="s">
        <v>182</v>
      </c>
      <c r="E13" s="2">
        <v>2</v>
      </c>
      <c r="F13" s="2">
        <v>2.5</v>
      </c>
      <c r="G13" s="2">
        <f t="shared" si="0"/>
        <v>0</v>
      </c>
      <c r="H13" s="2">
        <f t="shared" si="1"/>
        <v>0.5</v>
      </c>
      <c r="I13" s="2">
        <f t="shared" si="2"/>
        <v>0</v>
      </c>
      <c r="J13" s="2">
        <f t="shared" si="6"/>
        <v>0</v>
      </c>
      <c r="K13" s="2" t="e">
        <f t="shared" si="3"/>
        <v>#REF!</v>
      </c>
      <c r="L13" s="2">
        <v>0.5</v>
      </c>
      <c r="M13" s="2">
        <f t="shared" si="4"/>
        <v>0</v>
      </c>
      <c r="N13" s="62" t="s">
        <v>166</v>
      </c>
      <c r="O13" s="2">
        <f t="shared" si="5"/>
        <v>0</v>
      </c>
      <c r="P13" s="2" t="e">
        <f>SUM(TableShapes[[#This Row],[CFBase]:[CFUnipleat]])</f>
        <v>#REF!</v>
      </c>
      <c r="Q13" s="61" t="s">
        <v>195</v>
      </c>
      <c r="R13" s="61" t="e" vm="18">
        <v>#VALUE!</v>
      </c>
      <c r="S13" s="61" t="e" vm="19">
        <v>#VALUE!</v>
      </c>
      <c r="AG13" s="90"/>
    </row>
    <row r="14" spans="1:33" ht="57.75" customHeight="1" x14ac:dyDescent="0.3">
      <c r="A14" s="60" t="s">
        <v>196</v>
      </c>
      <c r="B14" s="61" t="s">
        <v>197</v>
      </c>
      <c r="C14" s="61" t="s">
        <v>165</v>
      </c>
      <c r="D14" s="61" t="s">
        <v>182</v>
      </c>
      <c r="E14" s="2">
        <v>2</v>
      </c>
      <c r="F14" s="2">
        <v>2.5</v>
      </c>
      <c r="G14" s="2">
        <f t="shared" si="0"/>
        <v>0</v>
      </c>
      <c r="H14" s="2">
        <f t="shared" si="1"/>
        <v>0.5</v>
      </c>
      <c r="I14" s="2">
        <f t="shared" si="2"/>
        <v>0</v>
      </c>
      <c r="J14" s="2">
        <f t="shared" si="6"/>
        <v>0</v>
      </c>
      <c r="K14" s="2" t="e">
        <f t="shared" si="3"/>
        <v>#REF!</v>
      </c>
      <c r="L14" s="2">
        <v>0.5</v>
      </c>
      <c r="M14" s="2">
        <f t="shared" si="4"/>
        <v>0</v>
      </c>
      <c r="N14" s="62" t="s">
        <v>166</v>
      </c>
      <c r="O14" s="2">
        <f t="shared" si="5"/>
        <v>0</v>
      </c>
      <c r="P14" s="2" t="e">
        <f>SUM(TableShapes[[#This Row],[CFBase]:[CFUnipleat]])</f>
        <v>#REF!</v>
      </c>
      <c r="Q14" s="61" t="s">
        <v>198</v>
      </c>
      <c r="R14" s="61" t="e" vm="20">
        <v>#VALUE!</v>
      </c>
      <c r="S14" s="61" t="e" vm="21">
        <v>#VALUE!</v>
      </c>
    </row>
    <row r="15" spans="1:33" ht="57.75" customHeight="1" x14ac:dyDescent="0.3">
      <c r="A15" s="60" t="s">
        <v>199</v>
      </c>
      <c r="B15" s="61" t="s">
        <v>200</v>
      </c>
      <c r="C15" s="61" t="s">
        <v>165</v>
      </c>
      <c r="D15" s="61" t="s">
        <v>182</v>
      </c>
      <c r="E15" s="2">
        <v>2</v>
      </c>
      <c r="F15" s="2">
        <v>2.5</v>
      </c>
      <c r="G15" s="2">
        <f t="shared" si="0"/>
        <v>0</v>
      </c>
      <c r="H15" s="2">
        <f t="shared" si="1"/>
        <v>0.5</v>
      </c>
      <c r="I15" s="2">
        <f t="shared" si="2"/>
        <v>0</v>
      </c>
      <c r="J15" s="2">
        <f t="shared" si="6"/>
        <v>0</v>
      </c>
      <c r="K15" s="2" t="e">
        <f t="shared" si="3"/>
        <v>#REF!</v>
      </c>
      <c r="L15" s="2">
        <v>0.5</v>
      </c>
      <c r="M15" s="2">
        <f t="shared" si="4"/>
        <v>0</v>
      </c>
      <c r="N15" s="62" t="s">
        <v>166</v>
      </c>
      <c r="O15" s="2">
        <f t="shared" si="5"/>
        <v>0</v>
      </c>
      <c r="P15" s="2" t="e">
        <f>SUM(TableShapes[[#This Row],[CFBase]:[CFUnipleat]])</f>
        <v>#REF!</v>
      </c>
      <c r="Q15" s="61" t="s">
        <v>201</v>
      </c>
      <c r="R15" s="61" t="e" vm="22">
        <v>#VALUE!</v>
      </c>
      <c r="S15" s="61" t="e" vm="23">
        <v>#VALUE!</v>
      </c>
      <c r="AG15" s="90"/>
    </row>
    <row r="16" spans="1:33" ht="57.75" customHeight="1" x14ac:dyDescent="0.3">
      <c r="A16" s="60" t="s">
        <v>202</v>
      </c>
      <c r="B16" s="61" t="s">
        <v>203</v>
      </c>
      <c r="C16" s="61" t="s">
        <v>165</v>
      </c>
      <c r="D16" s="61" t="s">
        <v>182</v>
      </c>
      <c r="E16" s="2">
        <v>2</v>
      </c>
      <c r="F16" s="2">
        <v>2.5</v>
      </c>
      <c r="G16" s="2">
        <f t="shared" si="0"/>
        <v>0</v>
      </c>
      <c r="H16" s="2">
        <f t="shared" si="1"/>
        <v>0.5</v>
      </c>
      <c r="I16" s="2">
        <f t="shared" si="2"/>
        <v>0</v>
      </c>
      <c r="J16" s="2">
        <f t="shared" si="6"/>
        <v>0</v>
      </c>
      <c r="K16" s="2" t="e">
        <f t="shared" si="3"/>
        <v>#REF!</v>
      </c>
      <c r="L16" s="2">
        <v>0.5</v>
      </c>
      <c r="M16" s="2">
        <f t="shared" si="4"/>
        <v>0</v>
      </c>
      <c r="N16" s="62" t="s">
        <v>166</v>
      </c>
      <c r="O16" s="2">
        <f t="shared" si="5"/>
        <v>0</v>
      </c>
      <c r="P16" s="2" t="e">
        <f>SUM(TableShapes[[#This Row],[CFBase]:[CFUnipleat]])</f>
        <v>#REF!</v>
      </c>
      <c r="Q16" s="61" t="s">
        <v>204</v>
      </c>
      <c r="R16" s="61" t="e" vm="24">
        <v>#VALUE!</v>
      </c>
      <c r="S16" s="61" t="e" vm="25">
        <v>#VALUE!</v>
      </c>
      <c r="AG16" s="90"/>
    </row>
    <row r="17" spans="1:19" ht="57.75" customHeight="1" x14ac:dyDescent="0.3">
      <c r="A17" s="60" t="s">
        <v>205</v>
      </c>
      <c r="B17" s="61" t="s">
        <v>206</v>
      </c>
      <c r="C17" s="61" t="s">
        <v>165</v>
      </c>
      <c r="D17" s="61" t="s">
        <v>165</v>
      </c>
      <c r="E17" s="2">
        <v>3</v>
      </c>
      <c r="F17" s="2">
        <v>1</v>
      </c>
      <c r="G17" s="2">
        <f t="shared" si="0"/>
        <v>0</v>
      </c>
      <c r="H17" s="2">
        <f t="shared" si="1"/>
        <v>0.5</v>
      </c>
      <c r="I17" s="2">
        <f t="shared" si="2"/>
        <v>0</v>
      </c>
      <c r="J17" s="2">
        <f t="shared" si="6"/>
        <v>0</v>
      </c>
      <c r="K17" s="2" t="e">
        <f t="shared" si="3"/>
        <v>#REF!</v>
      </c>
      <c r="L17" s="62"/>
      <c r="M17" s="2">
        <f t="shared" si="4"/>
        <v>0</v>
      </c>
      <c r="N17" s="2">
        <f>IF(ConnectRail="Yes",0.5,0)</f>
        <v>0</v>
      </c>
      <c r="O17" s="2">
        <f t="shared" si="5"/>
        <v>0</v>
      </c>
      <c r="P17" s="2" t="e">
        <f>SUM(TableShapes[[#This Row],[CFBase]:[CFUnipleat]])</f>
        <v>#REF!</v>
      </c>
      <c r="Q17" s="61" t="s">
        <v>207</v>
      </c>
      <c r="R17" s="61" t="e" vm="26">
        <v>#VALUE!</v>
      </c>
      <c r="S17" s="61" t="e" vm="27">
        <v>#VALUE!</v>
      </c>
    </row>
    <row r="18" spans="1:19" ht="57.75" customHeight="1" x14ac:dyDescent="0.3">
      <c r="A18" s="60" t="s">
        <v>208</v>
      </c>
      <c r="B18" s="61" t="s">
        <v>209</v>
      </c>
      <c r="C18" s="61" t="s">
        <v>165</v>
      </c>
      <c r="D18" s="61" t="s">
        <v>165</v>
      </c>
      <c r="E18" s="2">
        <v>3</v>
      </c>
      <c r="F18" s="2">
        <v>1</v>
      </c>
      <c r="G18" s="2">
        <f t="shared" si="0"/>
        <v>0</v>
      </c>
      <c r="H18" s="2">
        <f t="shared" si="1"/>
        <v>0.5</v>
      </c>
      <c r="I18" s="2">
        <f t="shared" si="2"/>
        <v>0</v>
      </c>
      <c r="J18" s="2">
        <f t="shared" si="6"/>
        <v>0</v>
      </c>
      <c r="K18" s="2" t="e">
        <f t="shared" si="3"/>
        <v>#REF!</v>
      </c>
      <c r="L18" s="62"/>
      <c r="M18" s="2">
        <f t="shared" si="4"/>
        <v>0</v>
      </c>
      <c r="N18" s="2">
        <f>IF(ConnectRail="Yes",0.5,0)</f>
        <v>0</v>
      </c>
      <c r="O18" s="2">
        <f t="shared" si="5"/>
        <v>0</v>
      </c>
      <c r="P18" s="2" t="e">
        <f>SUM(TableShapes[[#This Row],[CFBase]:[CFUnipleat]])</f>
        <v>#REF!</v>
      </c>
      <c r="Q18" s="61" t="s">
        <v>210</v>
      </c>
      <c r="R18" s="61" t="e" vm="28">
        <v>#VALUE!</v>
      </c>
      <c r="S18" s="61" t="e" vm="29">
        <v>#VALUE!</v>
      </c>
    </row>
    <row r="19" spans="1:19" ht="57.75" customHeight="1" x14ac:dyDescent="0.3">
      <c r="A19" s="60" t="s">
        <v>211</v>
      </c>
      <c r="B19" s="61" t="s">
        <v>212</v>
      </c>
      <c r="C19" s="61" t="s">
        <v>165</v>
      </c>
      <c r="D19" s="61" t="s">
        <v>182</v>
      </c>
      <c r="E19" s="2">
        <v>2</v>
      </c>
      <c r="F19" s="2">
        <v>2</v>
      </c>
      <c r="G19" s="2">
        <f t="shared" si="0"/>
        <v>0</v>
      </c>
      <c r="H19" s="2">
        <f t="shared" si="1"/>
        <v>0.5</v>
      </c>
      <c r="I19" s="2">
        <f t="shared" si="2"/>
        <v>0</v>
      </c>
      <c r="J19" s="2">
        <f t="shared" si="6"/>
        <v>0</v>
      </c>
      <c r="K19" s="2" t="e">
        <f t="shared" si="3"/>
        <v>#REF!</v>
      </c>
      <c r="L19" s="2">
        <v>0.5</v>
      </c>
      <c r="M19" s="2">
        <f t="shared" si="4"/>
        <v>0</v>
      </c>
      <c r="N19" s="62" t="s">
        <v>166</v>
      </c>
      <c r="O19" s="2">
        <f t="shared" si="5"/>
        <v>0</v>
      </c>
      <c r="P19" s="2" t="e">
        <f>SUM(TableShapes[[#This Row],[CFBase]:[CFUnipleat]])</f>
        <v>#REF!</v>
      </c>
      <c r="Q19" s="61" t="s">
        <v>213</v>
      </c>
      <c r="R19" s="61" t="e" vm="30">
        <v>#VALUE!</v>
      </c>
      <c r="S19" s="61" t="e" vm="31">
        <v>#VALUE!</v>
      </c>
    </row>
    <row r="20" spans="1:19" ht="57.75" customHeight="1" x14ac:dyDescent="0.3">
      <c r="A20" s="60" t="s">
        <v>214</v>
      </c>
      <c r="B20" s="61" t="s">
        <v>215</v>
      </c>
      <c r="C20" s="61" t="s">
        <v>165</v>
      </c>
      <c r="D20" s="61" t="s">
        <v>182</v>
      </c>
      <c r="E20" s="2">
        <v>2</v>
      </c>
      <c r="F20" s="2">
        <v>2</v>
      </c>
      <c r="G20" s="2">
        <f t="shared" si="0"/>
        <v>0</v>
      </c>
      <c r="H20" s="2">
        <f t="shared" si="1"/>
        <v>0.5</v>
      </c>
      <c r="I20" s="2">
        <f t="shared" si="2"/>
        <v>0</v>
      </c>
      <c r="J20" s="2">
        <f t="shared" si="6"/>
        <v>0</v>
      </c>
      <c r="K20" s="2" t="e">
        <f t="shared" si="3"/>
        <v>#REF!</v>
      </c>
      <c r="L20" s="2">
        <v>0.5</v>
      </c>
      <c r="M20" s="2">
        <f t="shared" si="4"/>
        <v>0</v>
      </c>
      <c r="N20" s="62" t="s">
        <v>166</v>
      </c>
      <c r="O20" s="2">
        <f t="shared" si="5"/>
        <v>0</v>
      </c>
      <c r="P20" s="2" t="e">
        <f>SUM(TableShapes[[#This Row],[CFBase]:[CFUnipleat]])</f>
        <v>#REF!</v>
      </c>
      <c r="Q20" s="61" t="s">
        <v>216</v>
      </c>
      <c r="R20" s="61" t="e" vm="32">
        <v>#VALUE!</v>
      </c>
      <c r="S20" s="61" t="e" vm="33">
        <v>#VALUE!</v>
      </c>
    </row>
    <row r="21" spans="1:19" ht="57.75" customHeight="1" x14ac:dyDescent="0.3">
      <c r="A21" s="60" t="s">
        <v>217</v>
      </c>
      <c r="B21" s="61" t="s">
        <v>218</v>
      </c>
      <c r="C21" s="61" t="s">
        <v>219</v>
      </c>
      <c r="D21" s="61" t="s">
        <v>165</v>
      </c>
      <c r="E21" s="2">
        <v>1</v>
      </c>
      <c r="F21" s="2">
        <v>1.5</v>
      </c>
      <c r="G21" s="2">
        <f t="shared" si="0"/>
        <v>0</v>
      </c>
      <c r="H21" s="2">
        <f t="shared" si="1"/>
        <v>0.5</v>
      </c>
      <c r="I21" s="2">
        <f t="shared" si="2"/>
        <v>0</v>
      </c>
      <c r="J21" s="2">
        <f t="shared" si="6"/>
        <v>0</v>
      </c>
      <c r="K21" s="2" t="e">
        <f t="shared" si="3"/>
        <v>#REF!</v>
      </c>
      <c r="L21" s="62"/>
      <c r="M21" s="2">
        <f t="shared" si="4"/>
        <v>0</v>
      </c>
      <c r="N21" s="62" t="s">
        <v>166</v>
      </c>
      <c r="O21" s="2">
        <f t="shared" si="5"/>
        <v>0</v>
      </c>
      <c r="P21" s="2" t="e">
        <f>SUM(TableShapes[[#This Row],[CFBase]:[CFUnipleat]])</f>
        <v>#REF!</v>
      </c>
      <c r="Q21" s="61" t="s">
        <v>220</v>
      </c>
      <c r="R21" s="61" t="e" vm="34">
        <v>#VALUE!</v>
      </c>
      <c r="S21" s="61" t="e" vm="35">
        <v>#VALUE!</v>
      </c>
    </row>
    <row r="22" spans="1:19" ht="57.75" customHeight="1" x14ac:dyDescent="0.3">
      <c r="A22" s="60" t="s">
        <v>221</v>
      </c>
      <c r="B22" s="61" t="s">
        <v>222</v>
      </c>
      <c r="C22" s="61" t="s">
        <v>219</v>
      </c>
      <c r="D22" s="61" t="s">
        <v>165</v>
      </c>
      <c r="E22" s="2">
        <v>1</v>
      </c>
      <c r="F22" s="2">
        <v>1.5</v>
      </c>
      <c r="G22" s="2">
        <f t="shared" si="0"/>
        <v>0</v>
      </c>
      <c r="H22" s="2">
        <f t="shared" si="1"/>
        <v>0.5</v>
      </c>
      <c r="I22" s="2">
        <f t="shared" si="2"/>
        <v>0</v>
      </c>
      <c r="J22" s="2">
        <f t="shared" si="6"/>
        <v>0</v>
      </c>
      <c r="K22" s="2" t="e">
        <f t="shared" si="3"/>
        <v>#REF!</v>
      </c>
      <c r="L22" s="62"/>
      <c r="M22" s="2">
        <f t="shared" si="4"/>
        <v>0</v>
      </c>
      <c r="N22" s="62" t="s">
        <v>166</v>
      </c>
      <c r="O22" s="2">
        <f t="shared" si="5"/>
        <v>0</v>
      </c>
      <c r="P22" s="2" t="e">
        <f>SUM(TableShapes[[#This Row],[CFBase]:[CFUnipleat]])</f>
        <v>#REF!</v>
      </c>
      <c r="Q22" s="61" t="s">
        <v>223</v>
      </c>
      <c r="R22" s="61" t="e" vm="36">
        <v>#VALUE!</v>
      </c>
      <c r="S22" s="61" t="e" vm="37">
        <v>#VALUE!</v>
      </c>
    </row>
    <row r="23" spans="1:19" ht="57.75" customHeight="1" x14ac:dyDescent="0.3">
      <c r="A23" s="60" t="s">
        <v>224</v>
      </c>
      <c r="B23" s="61" t="s">
        <v>225</v>
      </c>
      <c r="C23" s="61" t="s">
        <v>219</v>
      </c>
      <c r="D23" s="61" t="s">
        <v>165</v>
      </c>
      <c r="E23" s="2">
        <v>3</v>
      </c>
      <c r="F23" s="2">
        <v>1.5</v>
      </c>
      <c r="G23" s="2">
        <f t="shared" si="0"/>
        <v>0</v>
      </c>
      <c r="H23" s="2">
        <f t="shared" si="1"/>
        <v>0.5</v>
      </c>
      <c r="I23" s="2">
        <f t="shared" si="2"/>
        <v>0</v>
      </c>
      <c r="J23" s="2">
        <f t="shared" si="6"/>
        <v>0</v>
      </c>
      <c r="K23" s="2" t="e">
        <f t="shared" si="3"/>
        <v>#REF!</v>
      </c>
      <c r="L23" s="62"/>
      <c r="M23" s="2">
        <f t="shared" si="4"/>
        <v>0</v>
      </c>
      <c r="N23" s="62">
        <v>0.5</v>
      </c>
      <c r="O23" s="2">
        <f t="shared" si="5"/>
        <v>0</v>
      </c>
      <c r="P23" s="2" t="e">
        <f>SUM(TableShapes[[#This Row],[CFBase]:[CFUnipleat]])</f>
        <v>#REF!</v>
      </c>
      <c r="Q23" s="61" t="s">
        <v>226</v>
      </c>
      <c r="R23" s="61" t="e" vm="38">
        <v>#VALUE!</v>
      </c>
      <c r="S23" s="61" t="e" vm="39">
        <v>#VALUE!</v>
      </c>
    </row>
    <row r="24" spans="1:19" ht="57.75" customHeight="1" x14ac:dyDescent="0.3">
      <c r="A24" s="60" t="s">
        <v>227</v>
      </c>
      <c r="B24" s="61" t="s">
        <v>228</v>
      </c>
      <c r="C24" s="61" t="s">
        <v>219</v>
      </c>
      <c r="D24" s="61" t="s">
        <v>165</v>
      </c>
      <c r="E24" s="2">
        <v>3</v>
      </c>
      <c r="F24" s="2">
        <v>1.5</v>
      </c>
      <c r="G24" s="2">
        <f t="shared" si="0"/>
        <v>0</v>
      </c>
      <c r="H24" s="2">
        <f t="shared" si="1"/>
        <v>0.5</v>
      </c>
      <c r="I24" s="2">
        <f t="shared" si="2"/>
        <v>0</v>
      </c>
      <c r="J24" s="2">
        <f t="shared" si="6"/>
        <v>0</v>
      </c>
      <c r="K24" s="2" t="e">
        <f t="shared" si="3"/>
        <v>#REF!</v>
      </c>
      <c r="L24" s="62"/>
      <c r="M24" s="2">
        <f t="shared" si="4"/>
        <v>0</v>
      </c>
      <c r="N24" s="62">
        <v>0.5</v>
      </c>
      <c r="O24" s="2">
        <f t="shared" si="5"/>
        <v>0</v>
      </c>
      <c r="P24" s="2" t="e">
        <f>SUM(TableShapes[[#This Row],[CFBase]:[CFUnipleat]])</f>
        <v>#REF!</v>
      </c>
      <c r="Q24" s="61" t="s">
        <v>229</v>
      </c>
      <c r="R24" s="61" t="e" vm="40">
        <v>#VALUE!</v>
      </c>
      <c r="S24" s="61" t="e" vm="41">
        <v>#VALUE!</v>
      </c>
    </row>
    <row r="25" spans="1:19" ht="57.75" customHeight="1" x14ac:dyDescent="0.3">
      <c r="A25" s="60">
        <v>11</v>
      </c>
      <c r="B25" s="61" t="s">
        <v>230</v>
      </c>
      <c r="C25" s="61" t="s">
        <v>219</v>
      </c>
      <c r="D25" s="61" t="s">
        <v>165</v>
      </c>
      <c r="E25" s="2">
        <v>1</v>
      </c>
      <c r="F25" s="2">
        <v>2</v>
      </c>
      <c r="G25" s="2">
        <f t="shared" si="0"/>
        <v>0</v>
      </c>
      <c r="H25" s="2">
        <f t="shared" si="1"/>
        <v>0.5</v>
      </c>
      <c r="I25" s="2">
        <f t="shared" si="2"/>
        <v>0</v>
      </c>
      <c r="J25" s="2">
        <f t="shared" si="6"/>
        <v>0</v>
      </c>
      <c r="K25" s="2" t="e">
        <f t="shared" si="3"/>
        <v>#REF!</v>
      </c>
      <c r="L25" s="62"/>
      <c r="M25" s="2">
        <f t="shared" si="4"/>
        <v>0</v>
      </c>
      <c r="N25" s="62" t="s">
        <v>166</v>
      </c>
      <c r="O25" s="2">
        <f t="shared" si="5"/>
        <v>0</v>
      </c>
      <c r="P25" s="2" t="e">
        <f>SUM(TableShapes[[#This Row],[CFBase]:[CFUnipleat]])</f>
        <v>#REF!</v>
      </c>
      <c r="Q25" s="61" t="s">
        <v>231</v>
      </c>
      <c r="R25" s="61" t="e" vm="42">
        <v>#VALUE!</v>
      </c>
      <c r="S25" s="61" t="e" vm="43">
        <v>#VALUE!</v>
      </c>
    </row>
    <row r="26" spans="1:19" ht="57.75" customHeight="1" x14ac:dyDescent="0.3">
      <c r="A26" s="60" t="s">
        <v>232</v>
      </c>
      <c r="B26" s="61" t="s">
        <v>233</v>
      </c>
      <c r="C26" s="61" t="s">
        <v>219</v>
      </c>
      <c r="D26" s="61" t="s">
        <v>165</v>
      </c>
      <c r="E26" s="2">
        <v>1</v>
      </c>
      <c r="F26" s="2">
        <v>0.5</v>
      </c>
      <c r="G26" s="2">
        <f t="shared" si="0"/>
        <v>0</v>
      </c>
      <c r="H26" s="2">
        <f t="shared" si="1"/>
        <v>0.5</v>
      </c>
      <c r="I26" s="2">
        <f t="shared" si="2"/>
        <v>0</v>
      </c>
      <c r="J26" s="2">
        <f t="shared" si="6"/>
        <v>0</v>
      </c>
      <c r="K26" s="2" t="e">
        <f t="shared" si="3"/>
        <v>#REF!</v>
      </c>
      <c r="L26" s="62"/>
      <c r="M26" s="2">
        <f t="shared" si="4"/>
        <v>0</v>
      </c>
      <c r="N26" s="62" t="s">
        <v>166</v>
      </c>
      <c r="O26" s="2">
        <f t="shared" si="5"/>
        <v>0</v>
      </c>
      <c r="P26" s="2" t="e">
        <f>SUM(TableShapes[[#This Row],[CFBase]:[CFUnipleat]])</f>
        <v>#REF!</v>
      </c>
      <c r="Q26" s="61" t="s">
        <v>234</v>
      </c>
      <c r="R26" s="61" t="e" vm="44">
        <v>#VALUE!</v>
      </c>
      <c r="S26" s="61" t="e" vm="45">
        <v>#VALUE!</v>
      </c>
    </row>
    <row r="27" spans="1:19" ht="57.75" customHeight="1" x14ac:dyDescent="0.3">
      <c r="A27" s="60" t="s">
        <v>235</v>
      </c>
      <c r="B27" s="61" t="s">
        <v>236</v>
      </c>
      <c r="C27" s="61" t="s">
        <v>219</v>
      </c>
      <c r="D27" s="61" t="s">
        <v>165</v>
      </c>
      <c r="E27" s="2">
        <v>1</v>
      </c>
      <c r="F27" s="2">
        <v>0.5</v>
      </c>
      <c r="G27" s="2">
        <f t="shared" si="0"/>
        <v>0</v>
      </c>
      <c r="H27" s="2">
        <f t="shared" si="1"/>
        <v>0.5</v>
      </c>
      <c r="I27" s="2">
        <f t="shared" si="2"/>
        <v>0</v>
      </c>
      <c r="J27" s="2">
        <f t="shared" si="6"/>
        <v>0</v>
      </c>
      <c r="K27" s="2" t="e">
        <f t="shared" si="3"/>
        <v>#REF!</v>
      </c>
      <c r="L27" s="62"/>
      <c r="M27" s="2">
        <f t="shared" si="4"/>
        <v>0</v>
      </c>
      <c r="N27" s="62" t="s">
        <v>166</v>
      </c>
      <c r="O27" s="2">
        <f t="shared" si="5"/>
        <v>0</v>
      </c>
      <c r="P27" s="2" t="e">
        <f>SUM(TableShapes[[#This Row],[CFBase]:[CFUnipleat]])</f>
        <v>#REF!</v>
      </c>
      <c r="Q27" s="61" t="s">
        <v>237</v>
      </c>
      <c r="R27" s="61" t="e" vm="46">
        <v>#VALUE!</v>
      </c>
      <c r="S27" s="61" t="e" vm="47">
        <v>#VALUE!</v>
      </c>
    </row>
    <row r="28" spans="1:19" ht="57.75" customHeight="1" x14ac:dyDescent="0.3">
      <c r="A28" s="60" t="s">
        <v>238</v>
      </c>
      <c r="B28" s="61" t="s">
        <v>239</v>
      </c>
      <c r="C28" s="61" t="s">
        <v>219</v>
      </c>
      <c r="D28" s="61" t="s">
        <v>165</v>
      </c>
      <c r="E28" s="2">
        <v>1</v>
      </c>
      <c r="F28" s="2">
        <v>0.5</v>
      </c>
      <c r="G28" s="2">
        <f t="shared" si="0"/>
        <v>0</v>
      </c>
      <c r="H28" s="2">
        <f t="shared" si="1"/>
        <v>0.5</v>
      </c>
      <c r="I28" s="2">
        <f t="shared" si="2"/>
        <v>0</v>
      </c>
      <c r="J28" s="2">
        <f t="shared" si="6"/>
        <v>0</v>
      </c>
      <c r="K28" s="2" t="e">
        <f t="shared" si="3"/>
        <v>#REF!</v>
      </c>
      <c r="L28" s="62"/>
      <c r="M28" s="2">
        <f t="shared" si="4"/>
        <v>0</v>
      </c>
      <c r="N28" s="62" t="s">
        <v>166</v>
      </c>
      <c r="O28" s="2">
        <f t="shared" si="5"/>
        <v>0</v>
      </c>
      <c r="P28" s="2" t="e">
        <f>SUM(TableShapes[[#This Row],[CFBase]:[CFUnipleat]])</f>
        <v>#REF!</v>
      </c>
      <c r="Q28" s="61" t="s">
        <v>240</v>
      </c>
      <c r="R28" s="61" t="e" vm="48">
        <v>#VALUE!</v>
      </c>
      <c r="S28" s="61" t="e" vm="49">
        <v>#VALUE!</v>
      </c>
    </row>
    <row r="29" spans="1:19" ht="57.75" customHeight="1" x14ac:dyDescent="0.3">
      <c r="A29" s="60" t="s">
        <v>241</v>
      </c>
      <c r="B29" s="61" t="s">
        <v>242</v>
      </c>
      <c r="C29" s="61" t="s">
        <v>219</v>
      </c>
      <c r="D29" s="61" t="s">
        <v>165</v>
      </c>
      <c r="E29" s="2">
        <v>1</v>
      </c>
      <c r="F29" s="2">
        <v>0.5</v>
      </c>
      <c r="G29" s="2">
        <f t="shared" si="0"/>
        <v>0</v>
      </c>
      <c r="H29" s="2">
        <f t="shared" si="1"/>
        <v>0.5</v>
      </c>
      <c r="I29" s="2">
        <f t="shared" si="2"/>
        <v>0</v>
      </c>
      <c r="J29" s="2">
        <f t="shared" si="6"/>
        <v>0</v>
      </c>
      <c r="K29" s="2" t="e">
        <f t="shared" si="3"/>
        <v>#REF!</v>
      </c>
      <c r="L29" s="62"/>
      <c r="M29" s="2">
        <f t="shared" si="4"/>
        <v>0</v>
      </c>
      <c r="N29" s="62" t="s">
        <v>166</v>
      </c>
      <c r="O29" s="2">
        <f t="shared" si="5"/>
        <v>0</v>
      </c>
      <c r="P29" s="2" t="e">
        <f>SUM(TableShapes[[#This Row],[CFBase]:[CFUnipleat]])</f>
        <v>#REF!</v>
      </c>
      <c r="Q29" s="61" t="s">
        <v>243</v>
      </c>
      <c r="R29" s="61" t="e" vm="50">
        <v>#VALUE!</v>
      </c>
      <c r="S29" s="61" t="e" vm="51">
        <v>#VALUE!</v>
      </c>
    </row>
    <row r="30" spans="1:19" ht="57.75" customHeight="1" x14ac:dyDescent="0.3">
      <c r="A30" s="60" t="s">
        <v>244</v>
      </c>
      <c r="B30" s="61" t="s">
        <v>245</v>
      </c>
      <c r="C30" s="61" t="s">
        <v>165</v>
      </c>
      <c r="D30" s="61" t="s">
        <v>165</v>
      </c>
      <c r="E30" s="2">
        <v>3</v>
      </c>
      <c r="F30" s="2">
        <v>3.5</v>
      </c>
      <c r="G30" s="2">
        <f t="shared" si="0"/>
        <v>0</v>
      </c>
      <c r="H30" s="2">
        <f t="shared" si="1"/>
        <v>0.5</v>
      </c>
      <c r="I30" s="2">
        <f t="shared" si="2"/>
        <v>0</v>
      </c>
      <c r="J30" s="2">
        <f t="shared" si="6"/>
        <v>0</v>
      </c>
      <c r="K30" s="62"/>
      <c r="L30" s="62"/>
      <c r="M30" s="2">
        <f t="shared" si="4"/>
        <v>0</v>
      </c>
      <c r="N30" s="62" t="s">
        <v>166</v>
      </c>
      <c r="O30" s="2">
        <f t="shared" si="5"/>
        <v>0</v>
      </c>
      <c r="P30" s="2">
        <f>SUM(TableShapes[[#This Row],[CFBase]:[CFUnipleat]])</f>
        <v>4</v>
      </c>
      <c r="Q30" s="61" t="s">
        <v>246</v>
      </c>
      <c r="R30" s="61" t="e" vm="52">
        <v>#VALUE!</v>
      </c>
      <c r="S30" s="61" t="e" vm="53">
        <v>#VALUE!</v>
      </c>
    </row>
    <row r="31" spans="1:19" ht="57.75" customHeight="1" x14ac:dyDescent="0.3">
      <c r="A31" s="60" t="s">
        <v>247</v>
      </c>
      <c r="B31" s="61" t="s">
        <v>248</v>
      </c>
      <c r="C31" s="61" t="s">
        <v>165</v>
      </c>
      <c r="D31" s="61" t="s">
        <v>165</v>
      </c>
      <c r="E31" s="2">
        <v>3</v>
      </c>
      <c r="F31" s="2">
        <v>3.5</v>
      </c>
      <c r="G31" s="2">
        <f t="shared" si="0"/>
        <v>0</v>
      </c>
      <c r="H31" s="2">
        <f t="shared" si="1"/>
        <v>0.5</v>
      </c>
      <c r="I31" s="2">
        <f t="shared" si="2"/>
        <v>0</v>
      </c>
      <c r="J31" s="2">
        <f t="shared" si="6"/>
        <v>0</v>
      </c>
      <c r="K31" s="62"/>
      <c r="L31" s="62"/>
      <c r="M31" s="2">
        <f t="shared" si="4"/>
        <v>0</v>
      </c>
      <c r="N31" s="62" t="s">
        <v>166</v>
      </c>
      <c r="O31" s="2">
        <f t="shared" si="5"/>
        <v>0</v>
      </c>
      <c r="P31" s="2">
        <f>SUM(TableShapes[[#This Row],[CFBase]:[CFUnipleat]])</f>
        <v>4</v>
      </c>
      <c r="Q31" s="61" t="s">
        <v>249</v>
      </c>
      <c r="R31" s="61" t="e" vm="54">
        <v>#VALUE!</v>
      </c>
      <c r="S31" s="61" t="e" vm="55">
        <v>#VALUE!</v>
      </c>
    </row>
    <row r="32" spans="1:19" ht="57.75" customHeight="1" x14ac:dyDescent="0.3">
      <c r="A32" s="60">
        <v>15</v>
      </c>
      <c r="B32" s="61" t="s">
        <v>250</v>
      </c>
      <c r="C32" s="61" t="s">
        <v>251</v>
      </c>
      <c r="D32" s="61" t="s">
        <v>165</v>
      </c>
      <c r="E32" s="2">
        <v>1</v>
      </c>
      <c r="F32" s="2">
        <v>2</v>
      </c>
      <c r="G32" s="2">
        <f t="shared" si="0"/>
        <v>0</v>
      </c>
      <c r="H32" s="2">
        <f t="shared" si="1"/>
        <v>0.5</v>
      </c>
      <c r="I32" s="2">
        <f t="shared" si="2"/>
        <v>0</v>
      </c>
      <c r="J32" s="2">
        <f t="shared" si="6"/>
        <v>0</v>
      </c>
      <c r="K32" s="2">
        <v>0.5</v>
      </c>
      <c r="L32" s="2">
        <v>0.5</v>
      </c>
      <c r="M32" s="2">
        <f t="shared" si="4"/>
        <v>0</v>
      </c>
      <c r="N32" s="62" t="s">
        <v>166</v>
      </c>
      <c r="O32" s="2">
        <f t="shared" si="5"/>
        <v>0</v>
      </c>
      <c r="P32" s="2">
        <f>SUM(TableShapes[[#This Row],[CFBase]:[CFUnipleat]])</f>
        <v>3.5</v>
      </c>
      <c r="Q32" s="61" t="s">
        <v>252</v>
      </c>
      <c r="R32" s="61" t="e" vm="56">
        <v>#VALUE!</v>
      </c>
      <c r="S32" s="61" t="e" vm="57">
        <v>#VALUE!</v>
      </c>
    </row>
    <row r="33" spans="1:19" ht="57.75" customHeight="1" x14ac:dyDescent="0.3">
      <c r="A33" s="60" t="s">
        <v>253</v>
      </c>
      <c r="B33" s="61" t="s">
        <v>254</v>
      </c>
      <c r="C33" s="61" t="s">
        <v>165</v>
      </c>
      <c r="D33" s="61" t="s">
        <v>165</v>
      </c>
      <c r="E33" s="2">
        <v>3</v>
      </c>
      <c r="F33" s="2">
        <v>3.5</v>
      </c>
      <c r="G33" s="2">
        <f t="shared" si="0"/>
        <v>0</v>
      </c>
      <c r="H33" s="2">
        <f t="shared" si="1"/>
        <v>0.5</v>
      </c>
      <c r="I33" s="2">
        <f t="shared" si="2"/>
        <v>0</v>
      </c>
      <c r="J33" s="2">
        <f t="shared" si="6"/>
        <v>0</v>
      </c>
      <c r="K33" s="2"/>
      <c r="L33" s="2"/>
      <c r="M33" s="2">
        <f t="shared" si="4"/>
        <v>0</v>
      </c>
      <c r="N33" s="62" t="s">
        <v>166</v>
      </c>
      <c r="O33" s="2">
        <f t="shared" si="5"/>
        <v>0</v>
      </c>
      <c r="P33" s="2">
        <f>SUM(TableShapes[[#This Row],[CFBase]:[CFUnipleat]])</f>
        <v>4</v>
      </c>
      <c r="Q33" s="61" t="s">
        <v>255</v>
      </c>
      <c r="R33" s="61" t="e" vm="58">
        <v>#VALUE!</v>
      </c>
      <c r="S33" s="61" t="e" vm="59">
        <v>#VALUE!</v>
      </c>
    </row>
    <row r="34" spans="1:19" ht="57.75" customHeight="1" x14ac:dyDescent="0.3">
      <c r="A34" s="60" t="s">
        <v>256</v>
      </c>
      <c r="B34" s="61" t="s">
        <v>257</v>
      </c>
      <c r="C34" s="61" t="s">
        <v>165</v>
      </c>
      <c r="D34" s="61" t="s">
        <v>165</v>
      </c>
      <c r="E34" s="2">
        <v>3</v>
      </c>
      <c r="F34" s="2">
        <v>3.5</v>
      </c>
      <c r="G34" s="2">
        <f t="shared" si="0"/>
        <v>0</v>
      </c>
      <c r="H34" s="2">
        <f t="shared" si="1"/>
        <v>0.5</v>
      </c>
      <c r="I34" s="2">
        <f t="shared" si="2"/>
        <v>0</v>
      </c>
      <c r="J34" s="2">
        <f t="shared" si="6"/>
        <v>0</v>
      </c>
      <c r="K34" s="2"/>
      <c r="L34" s="2"/>
      <c r="M34" s="2">
        <f t="shared" si="4"/>
        <v>0</v>
      </c>
      <c r="N34" s="62" t="s">
        <v>166</v>
      </c>
      <c r="O34" s="2">
        <f t="shared" si="5"/>
        <v>0</v>
      </c>
      <c r="P34" s="2">
        <f>SUM(TableShapes[[#This Row],[CFBase]:[CFUnipleat]])</f>
        <v>4</v>
      </c>
      <c r="Q34" s="61" t="s">
        <v>258</v>
      </c>
      <c r="R34" s="61" t="e" vm="60">
        <v>#VALUE!</v>
      </c>
      <c r="S34" s="61" t="e" vm="61">
        <v>#VALUE!</v>
      </c>
    </row>
    <row r="35" spans="1:19" ht="57.75" customHeight="1" x14ac:dyDescent="0.3">
      <c r="A35" s="60" t="s">
        <v>259</v>
      </c>
      <c r="B35" s="61" t="s">
        <v>260</v>
      </c>
      <c r="C35" s="61" t="s">
        <v>166</v>
      </c>
      <c r="D35" s="61" t="s">
        <v>166</v>
      </c>
      <c r="E35" s="2">
        <v>0</v>
      </c>
      <c r="F35" s="2">
        <v>0</v>
      </c>
      <c r="G35" s="2">
        <f t="shared" si="0"/>
        <v>0</v>
      </c>
      <c r="H35" s="2">
        <f t="shared" si="1"/>
        <v>0.5</v>
      </c>
      <c r="I35" s="2">
        <f t="shared" si="2"/>
        <v>0</v>
      </c>
      <c r="J35" s="2"/>
      <c r="K35" s="2"/>
      <c r="L35" s="2"/>
      <c r="M35" s="2">
        <f t="shared" si="4"/>
        <v>0</v>
      </c>
      <c r="N35" s="62" t="s">
        <v>166</v>
      </c>
      <c r="O35" s="2">
        <f t="shared" si="5"/>
        <v>0</v>
      </c>
      <c r="P35" s="2">
        <f>SUM(TableShapes[[#This Row],[CFBase]:[CFUnipleat]])</f>
        <v>0.5</v>
      </c>
      <c r="Q35" s="61"/>
      <c r="R35" s="61"/>
      <c r="S35" s="61"/>
    </row>
    <row r="36" spans="1:19" ht="57.75" customHeight="1" x14ac:dyDescent="0.3"/>
    <row r="37" spans="1:19" ht="57.75" customHeight="1" x14ac:dyDescent="0.3"/>
    <row r="38" spans="1:19" ht="57.75" customHeight="1" x14ac:dyDescent="0.3"/>
    <row r="39" spans="1:19" ht="57.75" customHeight="1" x14ac:dyDescent="0.3"/>
    <row r="40" spans="1:19" ht="57.75" customHeight="1" x14ac:dyDescent="0.3"/>
    <row r="41" spans="1:19" ht="57.75" customHeight="1" x14ac:dyDescent="0.3"/>
    <row r="42" spans="1:19" ht="57.75" customHeight="1" x14ac:dyDescent="0.3"/>
    <row r="43" spans="1:19" ht="57.75" customHeight="1" x14ac:dyDescent="0.3"/>
    <row r="44" spans="1:19" ht="57.75" customHeight="1" x14ac:dyDescent="0.3"/>
  </sheetData>
  <mergeCells count="5">
    <mergeCell ref="V3:X3"/>
    <mergeCell ref="V9:X9"/>
    <mergeCell ref="V10:X10"/>
    <mergeCell ref="AG12:AG13"/>
    <mergeCell ref="AG15:AG1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8" ma:contentTypeDescription="Create a new document." ma:contentTypeScope="" ma:versionID="99e6356d317c514761f8fa2d3a8769ce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6b90c2ffbb921351b307866847e2541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8 k w y W v 9 n C c G m A A A A 9 g A A A B I A H A B D b 2 5 m a W c v U G F j a 2 F n Z S 5 4 b W w g o h g A K K A U A A A A A A A A A A A A A A A A A A A A A A A A A A A A h Y 9 L D o I w G I S v Q r q n D 0 h 8 k J + S 6 M K N J C Y m x m 1 T K z R C M b R Y 7 u b C I 3 k F M Y q 6 c z n f f I u Z + / U G W V 9 X w U W 1 V j c m R Q x T F C g j m 4 M 2 R Y o 6 d w x n K O O w E f I k C h U M s r F J b w 8 p K p 0 7 J 4 R 4 7 7 G P c d M W J K K U k X 2 + 3 s p S 1 Q J 9 Z P 1 f D r W x T h i p E I f d a w y P M I v n m E 0 n m A I Z I e T a f I V o 2 P t s f y A s u 8 p 1 r e L K h K s F k D E C e X / g D 1 B L A w Q U A A I A C A D y T D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k w y W i i K R 7 g O A A A A E Q A A A B M A H A B G b 3 J t d W x h c y 9 T Z W N 0 a W 9 u M S 5 t I K I Y A C i g F A A A A A A A A A A A A A A A A A A A A A A A A A A A A C t O T S 7 J z M 9 T C I b Q h t Y A U E s B A i 0 A F A A C A A g A 8 k w y W v 9 n C c G m A A A A 9 g A A A B I A A A A A A A A A A A A A A A A A A A A A A E N v b m Z p Z y 9 Q Y W N r Y W d l L n h t b F B L A Q I t A B Q A A g A I A P J M M l o P y u m r p A A A A O k A A A A T A A A A A A A A A A A A A A A A A P I A A A B b Q 2 9 u d G V u d F 9 U e X B l c 1 0 u e G 1 s U E s B A i 0 A F A A C A A g A 8 k w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/ x x 5 u T 7 / 1 C r W V h i 7 L 5 s q s A A A A A A g A A A A A A E G Y A A A A B A A A g A A A A L O y t E q b P O m z P b E z 2 B y g y c q D J 5 J 3 Y P K P k p 9 L Y X L m N m K E A A A A A D o A A A A A C A A A g A A A A W 2 g p U X E B v 2 G R x u Y + p S H B A E b D Z l i R P x y X L 5 w 6 U g q 6 T J J Q A A A A a x l h Z X o s d l I v 7 r u V 5 m 1 8 V X U B B h r k p y a E X m 9 R u m M l l L 2 H s A 7 T S O t O n J F K x W p Y l A S M y n m G r f k w b h n F K c 0 + Y 6 D 0 G x V 5 6 R Z / l l u r W 8 Y 9 n B j w N n R A A A A A Z S G W M d 4 V o 8 r q J 5 / E J c + 3 f M 3 j 4 s B M J 2 S G 3 r d X h v J X T 8 d F p I J c / I 9 j i B X b Y R E w 1 9 e t y c Q p r A h P Z K d K 8 i s u 4 Y o F h w = = < / D a t a M a s h u p > 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6FE76-1816-4C67-B21D-8E23502FC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854D1-7A0A-4A8C-B8F3-B90FF8CA5EB5}">
  <ds:schemaRefs>
    <ds:schemaRef ds:uri="http://schemas.microsoft.com/office/2006/metadata/properties"/>
    <ds:schemaRef ds:uri="http://schemas.microsoft.com/office/2006/documentManagement/types"/>
    <ds:schemaRef ds:uri="4e8a4576-7320-4e02-8367-50eaa8d6c81a"/>
    <ds:schemaRef ds:uri="http://purl.org/dc/elements/1.1/"/>
    <ds:schemaRef ds:uri="http://purl.org/dc/dcmitype/"/>
    <ds:schemaRef ds:uri="http://www.w3.org/XML/1998/namespace"/>
    <ds:schemaRef ds:uri="d7564538-9a43-467c-9305-959c3453ee53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1B0E1501-54FC-4E64-B0BE-15CC62B7FD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Order Form</vt:lpstr>
      <vt:lpstr>Fabric Collection </vt:lpstr>
      <vt:lpstr>Product Code</vt:lpstr>
      <vt:lpstr>Shapes</vt:lpstr>
      <vt:lpstr>'Order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Charlie Townsend</cp:lastModifiedBy>
  <cp:revision/>
  <cp:lastPrinted>2025-05-14T16:16:52Z</cp:lastPrinted>
  <dcterms:created xsi:type="dcterms:W3CDTF">2020-10-14T14:05:44Z</dcterms:created>
  <dcterms:modified xsi:type="dcterms:W3CDTF">2026-05-26T09:18:45Z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